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Septiembre/Almacen/"/>
    </mc:Choice>
  </mc:AlternateContent>
  <xr:revisionPtr revIDLastSave="5" documentId="8_{17A863B9-979C-49E2-9C7D-1D2F1DB7037E}" xr6:coauthVersionLast="47" xr6:coauthVersionMax="47" xr10:uidLastSave="{C0C71036-43EB-44F5-96B1-BF3ECE5B4AAF}"/>
  <bookViews>
    <workbookView xWindow="-108" yWindow="-108" windowWidth="23256" windowHeight="13896" xr2:uid="{00000000-000D-0000-FFFF-FFFF00000000}"/>
  </bookViews>
  <sheets>
    <sheet name="Julio-Septiembre 2025" sheetId="37" r:id="rId1"/>
  </sheets>
  <definedNames>
    <definedName name="_xlnm.Print_Area" localSheetId="0">'Julio-Septiembre 2025'!$A$1:$Q$258</definedName>
    <definedName name="_xlnm.Print_Titles" localSheetId="0">'Julio-Septiembre 2025'!$8:$8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7" i="37" l="1"/>
  <c r="J168" i="37"/>
  <c r="J152" i="37"/>
  <c r="J139" i="37"/>
  <c r="G139" i="37"/>
  <c r="J138" i="37"/>
  <c r="J119" i="37"/>
  <c r="J133" i="37"/>
  <c r="J124" i="37"/>
  <c r="J121" i="37"/>
  <c r="J115" i="37"/>
  <c r="J114" i="37"/>
  <c r="J112" i="37"/>
  <c r="J107" i="37"/>
  <c r="J82" i="37"/>
  <c r="J81" i="37"/>
  <c r="J74" i="37"/>
  <c r="F67" i="37"/>
  <c r="J67" i="37"/>
  <c r="J66" i="37"/>
  <c r="F65" i="37"/>
  <c r="J65" i="37"/>
  <c r="J64" i="37"/>
  <c r="J58" i="37"/>
  <c r="J54" i="37"/>
  <c r="J48" i="37"/>
  <c r="J47" i="37"/>
  <c r="J39" i="37"/>
  <c r="J38" i="37"/>
  <c r="K31" i="37"/>
  <c r="G31" i="37"/>
  <c r="J13" i="37"/>
  <c r="J12" i="37"/>
  <c r="J11" i="37"/>
  <c r="K146" i="37" l="1"/>
  <c r="K163" i="37"/>
  <c r="K164" i="37"/>
  <c r="K168" i="37"/>
  <c r="F114" i="37"/>
  <c r="J113" i="37"/>
  <c r="J105" i="37"/>
  <c r="L97" i="37" l="1"/>
  <c r="J49" i="37"/>
  <c r="J36" i="37"/>
  <c r="F31" i="37"/>
  <c r="J116" i="37" l="1"/>
  <c r="J69" i="37"/>
  <c r="G73" i="37" l="1"/>
  <c r="G92" i="37"/>
  <c r="K92" i="37" s="1"/>
  <c r="G97" i="37"/>
  <c r="G91" i="37"/>
  <c r="G93" i="37"/>
  <c r="K93" i="37" s="1"/>
  <c r="L98" i="37"/>
  <c r="G98" i="37"/>
  <c r="L99" i="37"/>
  <c r="G99" i="37"/>
  <c r="G96" i="37"/>
  <c r="G81" i="37"/>
  <c r="K81" i="37" s="1"/>
  <c r="G78" i="37"/>
  <c r="L40" i="37"/>
  <c r="G40" i="37"/>
  <c r="K40" i="37" s="1"/>
  <c r="L94" i="37"/>
  <c r="K94" i="37"/>
  <c r="G38" i="37"/>
  <c r="K38" i="37" s="1"/>
  <c r="G39" i="37"/>
  <c r="K39" i="37" s="1"/>
  <c r="G85" i="37"/>
  <c r="K85" i="37" s="1"/>
  <c r="G82" i="37"/>
  <c r="K82" i="37" s="1"/>
  <c r="G69" i="37"/>
  <c r="K69" i="37" s="1"/>
  <c r="G64" i="37"/>
  <c r="K64" i="37" s="1"/>
  <c r="G65" i="37" s="1"/>
  <c r="K65" i="37" s="1"/>
  <c r="M65" i="37" s="1"/>
  <c r="G49" i="37"/>
  <c r="G48" i="37"/>
  <c r="K48" i="37" s="1"/>
  <c r="G51" i="37"/>
  <c r="G60" i="37"/>
  <c r="M165" i="37"/>
  <c r="M166" i="37"/>
  <c r="M167" i="37"/>
  <c r="M168" i="37"/>
  <c r="K98" i="37" l="1"/>
  <c r="M98" i="37" s="1"/>
  <c r="K99" i="37"/>
  <c r="M99" i="37" s="1"/>
  <c r="M40" i="37"/>
  <c r="K97" i="37"/>
  <c r="M97" i="37" s="1"/>
  <c r="M39" i="37"/>
  <c r="M164" i="37"/>
  <c r="K189" i="37" l="1"/>
  <c r="L60" i="37" l="1"/>
  <c r="M60" i="37"/>
  <c r="K171" i="37" l="1"/>
  <c r="M171" i="37" s="1"/>
  <c r="K170" i="37"/>
  <c r="M170" i="37" s="1"/>
  <c r="K169" i="37"/>
  <c r="M169" i="37" s="1"/>
  <c r="L96" i="37" l="1"/>
  <c r="L88" i="37"/>
  <c r="M88" i="37"/>
  <c r="L87" i="37"/>
  <c r="L93" i="37" l="1"/>
  <c r="M93" i="37"/>
  <c r="L92" i="37"/>
  <c r="M92" i="37"/>
  <c r="L91" i="37"/>
  <c r="M91" i="37"/>
  <c r="L54" i="37" l="1"/>
  <c r="K62" i="37"/>
  <c r="K114" i="37"/>
  <c r="K137" i="37"/>
  <c r="K115" i="37"/>
  <c r="K105" i="37"/>
  <c r="K107" i="37"/>
  <c r="K124" i="37"/>
  <c r="K113" i="37"/>
  <c r="G114" i="37" s="1"/>
  <c r="K66" i="37"/>
  <c r="G67" i="37" s="1"/>
  <c r="K129" i="37"/>
  <c r="K67" i="37" l="1"/>
  <c r="L171" i="37"/>
  <c r="L170" i="37"/>
  <c r="L172" i="37"/>
  <c r="L173" i="37"/>
  <c r="L169" i="37"/>
  <c r="F32" i="37" l="1"/>
  <c r="M31" i="37" l="1"/>
  <c r="M69" i="37" l="1"/>
  <c r="M70" i="37"/>
  <c r="K19" i="37"/>
  <c r="M19" i="37" s="1"/>
  <c r="K15" i="37"/>
  <c r="M15" i="37" s="1"/>
  <c r="K16" i="37"/>
  <c r="M16" i="37" s="1"/>
  <c r="K18" i="37"/>
  <c r="M18" i="37" s="1"/>
  <c r="K12" i="37"/>
  <c r="M12" i="37" s="1"/>
  <c r="K13" i="37"/>
  <c r="M13" i="37" s="1"/>
  <c r="K14" i="37"/>
  <c r="M14" i="37" s="1"/>
  <c r="K11" i="37"/>
  <c r="M11" i="37" s="1"/>
  <c r="L17" i="37"/>
  <c r="L18" i="37"/>
  <c r="L19" i="37"/>
  <c r="L12" i="37"/>
  <c r="L13" i="37"/>
  <c r="L14" i="37"/>
  <c r="L15" i="37"/>
  <c r="L16" i="37"/>
  <c r="L11" i="37"/>
  <c r="M20" i="37" l="1"/>
  <c r="L67" i="37"/>
  <c r="M115" i="37"/>
  <c r="K74" i="37"/>
  <c r="M74" i="37" s="1"/>
  <c r="L74" i="37"/>
  <c r="L48" i="37"/>
  <c r="L49" i="37"/>
  <c r="L177" i="37"/>
  <c r="L114" i="37"/>
  <c r="L128" i="37"/>
  <c r="M129" i="37"/>
  <c r="L124" i="37"/>
  <c r="M137" i="37"/>
  <c r="K152" i="37"/>
  <c r="M152" i="37" s="1"/>
  <c r="K186" i="37"/>
  <c r="L184" i="37"/>
  <c r="K133" i="37"/>
  <c r="L129" i="37"/>
  <c r="K116" i="37"/>
  <c r="M116" i="37" s="1"/>
  <c r="K118" i="37"/>
  <c r="K121" i="37"/>
  <c r="M121" i="37" s="1"/>
  <c r="K122" i="37"/>
  <c r="M122" i="37" s="1"/>
  <c r="K123" i="37"/>
  <c r="M123" i="37" s="1"/>
  <c r="M117" i="37"/>
  <c r="M114" i="37"/>
  <c r="M108" i="37"/>
  <c r="M109" i="37"/>
  <c r="M110" i="37"/>
  <c r="M113" i="37"/>
  <c r="L120" i="37"/>
  <c r="P205" i="37"/>
  <c r="N205" i="37"/>
  <c r="L205" i="37"/>
  <c r="L204" i="37"/>
  <c r="M203" i="37"/>
  <c r="L203" i="37"/>
  <c r="M202" i="37"/>
  <c r="L202" i="37"/>
  <c r="M201" i="37"/>
  <c r="L201" i="37"/>
  <c r="M200" i="37"/>
  <c r="L200" i="37"/>
  <c r="L199" i="37"/>
  <c r="K199" i="37"/>
  <c r="M199" i="37" s="1"/>
  <c r="L198" i="37"/>
  <c r="K198" i="37"/>
  <c r="M198" i="37" s="1"/>
  <c r="M197" i="37"/>
  <c r="L197" i="37"/>
  <c r="M196" i="37"/>
  <c r="L196" i="37"/>
  <c r="L195" i="37"/>
  <c r="M194" i="37"/>
  <c r="L194" i="37"/>
  <c r="M193" i="37"/>
  <c r="L193" i="37"/>
  <c r="M192" i="37"/>
  <c r="L192" i="37"/>
  <c r="L191" i="37"/>
  <c r="K191" i="37"/>
  <c r="M191" i="37" s="1"/>
  <c r="L190" i="37"/>
  <c r="K190" i="37"/>
  <c r="M190" i="37" s="1"/>
  <c r="L189" i="37"/>
  <c r="L188" i="37"/>
  <c r="K188" i="37"/>
  <c r="L187" i="37"/>
  <c r="K187" i="37"/>
  <c r="L186" i="37"/>
  <c r="L185" i="37"/>
  <c r="K185" i="37"/>
  <c r="L183" i="37"/>
  <c r="K183" i="37"/>
  <c r="L182" i="37"/>
  <c r="K182" i="37"/>
  <c r="L181" i="37"/>
  <c r="K181" i="37"/>
  <c r="M181" i="37" s="1"/>
  <c r="L180" i="37"/>
  <c r="K180" i="37"/>
  <c r="M180" i="37" s="1"/>
  <c r="L179" i="37"/>
  <c r="K179" i="37"/>
  <c r="M179" i="37" s="1"/>
  <c r="L178" i="37"/>
  <c r="K178" i="37"/>
  <c r="M178" i="37" s="1"/>
  <c r="K177" i="37"/>
  <c r="M177" i="37" s="1"/>
  <c r="L176" i="37"/>
  <c r="K176" i="37"/>
  <c r="M176" i="37" s="1"/>
  <c r="L175" i="37"/>
  <c r="K175" i="37"/>
  <c r="M175" i="37" s="1"/>
  <c r="M174" i="37"/>
  <c r="L174" i="37"/>
  <c r="K173" i="37"/>
  <c r="M173" i="37" s="1"/>
  <c r="K172" i="37"/>
  <c r="L168" i="37"/>
  <c r="L167" i="37"/>
  <c r="L166" i="37"/>
  <c r="L165" i="37"/>
  <c r="L164" i="37"/>
  <c r="L163" i="37"/>
  <c r="M163" i="37"/>
  <c r="L162" i="37"/>
  <c r="K162" i="37"/>
  <c r="M162" i="37" s="1"/>
  <c r="L161" i="37"/>
  <c r="K161" i="37"/>
  <c r="M161" i="37" s="1"/>
  <c r="L160" i="37"/>
  <c r="K160" i="37"/>
  <c r="M160" i="37" s="1"/>
  <c r="L159" i="37"/>
  <c r="K159" i="37"/>
  <c r="M159" i="37" s="1"/>
  <c r="L158" i="37"/>
  <c r="K158" i="37"/>
  <c r="M158" i="37" s="1"/>
  <c r="L157" i="37"/>
  <c r="K157" i="37"/>
  <c r="M157" i="37" s="1"/>
  <c r="L156" i="37"/>
  <c r="K156" i="37"/>
  <c r="M156" i="37" s="1"/>
  <c r="L155" i="37"/>
  <c r="K155" i="37"/>
  <c r="M155" i="37" s="1"/>
  <c r="M154" i="37"/>
  <c r="L154" i="37"/>
  <c r="L153" i="37"/>
  <c r="L152" i="37"/>
  <c r="L151" i="37"/>
  <c r="K151" i="37"/>
  <c r="M151" i="37" s="1"/>
  <c r="L150" i="37"/>
  <c r="K150" i="37"/>
  <c r="M150" i="37" s="1"/>
  <c r="L149" i="37"/>
  <c r="K149" i="37"/>
  <c r="M149" i="37" s="1"/>
  <c r="M148" i="37"/>
  <c r="L148" i="37"/>
  <c r="M147" i="37"/>
  <c r="L147" i="37"/>
  <c r="M146" i="37"/>
  <c r="L146" i="37"/>
  <c r="L145" i="37"/>
  <c r="K145" i="37"/>
  <c r="K144" i="37"/>
  <c r="L143" i="37"/>
  <c r="K143" i="37"/>
  <c r="M143" i="37" s="1"/>
  <c r="L142" i="37"/>
  <c r="K142" i="37"/>
  <c r="M142" i="37" s="1"/>
  <c r="L141" i="37"/>
  <c r="K141" i="37"/>
  <c r="M141" i="37" s="1"/>
  <c r="L140" i="37"/>
  <c r="K140" i="37"/>
  <c r="M140" i="37" s="1"/>
  <c r="L139" i="37"/>
  <c r="K139" i="37"/>
  <c r="M139" i="37" s="1"/>
  <c r="L138" i="37"/>
  <c r="K138" i="37"/>
  <c r="M138" i="37" s="1"/>
  <c r="M136" i="37"/>
  <c r="L135" i="37"/>
  <c r="K135" i="37"/>
  <c r="M135" i="37" s="1"/>
  <c r="M134" i="37"/>
  <c r="L134" i="37"/>
  <c r="L132" i="37"/>
  <c r="K132" i="37"/>
  <c r="M132" i="37" s="1"/>
  <c r="L131" i="37"/>
  <c r="K131" i="37"/>
  <c r="M131" i="37" s="1"/>
  <c r="M130" i="37"/>
  <c r="L130" i="37"/>
  <c r="K128" i="37"/>
  <c r="M128" i="37" s="1"/>
  <c r="L127" i="37"/>
  <c r="K127" i="37"/>
  <c r="M127" i="37" s="1"/>
  <c r="L126" i="37"/>
  <c r="K126" i="37"/>
  <c r="L125" i="37"/>
  <c r="K125" i="37"/>
  <c r="L123" i="37"/>
  <c r="L122" i="37"/>
  <c r="L121" i="37"/>
  <c r="L119" i="37"/>
  <c r="L118" i="37"/>
  <c r="L117" i="37"/>
  <c r="L116" i="37"/>
  <c r="L113" i="37"/>
  <c r="L112" i="37"/>
  <c r="K112" i="37"/>
  <c r="L111" i="37"/>
  <c r="L110" i="37"/>
  <c r="L109" i="37"/>
  <c r="L107" i="37"/>
  <c r="L106" i="37"/>
  <c r="L105" i="37"/>
  <c r="M105" i="37"/>
  <c r="P101" i="37"/>
  <c r="N101" i="37"/>
  <c r="M100" i="37"/>
  <c r="M96" i="37"/>
  <c r="M95" i="37"/>
  <c r="M94" i="37"/>
  <c r="M90" i="37"/>
  <c r="M89" i="37"/>
  <c r="M87" i="37"/>
  <c r="M86" i="37"/>
  <c r="L86" i="37"/>
  <c r="M85" i="37"/>
  <c r="L85" i="37"/>
  <c r="L84" i="37"/>
  <c r="M83" i="37"/>
  <c r="L83" i="37"/>
  <c r="L82" i="37"/>
  <c r="M81" i="37"/>
  <c r="L81" i="37"/>
  <c r="L80" i="37"/>
  <c r="K80" i="37"/>
  <c r="M80" i="37" s="1"/>
  <c r="L79" i="37"/>
  <c r="K79" i="37"/>
  <c r="M79" i="37" s="1"/>
  <c r="L78" i="37"/>
  <c r="K78" i="37"/>
  <c r="M78" i="37" s="1"/>
  <c r="L77" i="37"/>
  <c r="K77" i="37"/>
  <c r="M77" i="37" s="1"/>
  <c r="M76" i="37"/>
  <c r="L76" i="37"/>
  <c r="M75" i="37"/>
  <c r="L75" i="37"/>
  <c r="L73" i="37"/>
  <c r="K73" i="37"/>
  <c r="M73" i="37" s="1"/>
  <c r="L72" i="37"/>
  <c r="K72" i="37"/>
  <c r="M72" i="37" s="1"/>
  <c r="M71" i="37"/>
  <c r="L71" i="37"/>
  <c r="L70" i="37"/>
  <c r="L69" i="37"/>
  <c r="L68" i="37"/>
  <c r="L66" i="37"/>
  <c r="M66" i="37"/>
  <c r="L64" i="37"/>
  <c r="M64" i="37"/>
  <c r="M63" i="37"/>
  <c r="L63" i="37"/>
  <c r="L62" i="37"/>
  <c r="M62" i="37"/>
  <c r="L61" i="37"/>
  <c r="K61" i="37"/>
  <c r="M61" i="37" s="1"/>
  <c r="L59" i="37"/>
  <c r="K59" i="37"/>
  <c r="M59" i="37" s="1"/>
  <c r="L58" i="37"/>
  <c r="K58" i="37"/>
  <c r="M58" i="37" s="1"/>
  <c r="L57" i="37"/>
  <c r="K57" i="37"/>
  <c r="M57" i="37" s="1"/>
  <c r="L56" i="37"/>
  <c r="K56" i="37"/>
  <c r="M56" i="37" s="1"/>
  <c r="L55" i="37"/>
  <c r="K55" i="37"/>
  <c r="M55" i="37" s="1"/>
  <c r="K54" i="37"/>
  <c r="M54" i="37" s="1"/>
  <c r="L53" i="37"/>
  <c r="K53" i="37"/>
  <c r="M53" i="37" s="1"/>
  <c r="M52" i="37"/>
  <c r="L52" i="37"/>
  <c r="L51" i="37"/>
  <c r="K51" i="37"/>
  <c r="M51" i="37" s="1"/>
  <c r="M50" i="37"/>
  <c r="L50" i="37"/>
  <c r="K49" i="37"/>
  <c r="M48" i="37"/>
  <c r="L47" i="37"/>
  <c r="K47" i="37"/>
  <c r="M47" i="37" s="1"/>
  <c r="L46" i="37"/>
  <c r="K46" i="37"/>
  <c r="M46" i="37" s="1"/>
  <c r="L45" i="37"/>
  <c r="K45" i="37"/>
  <c r="M45" i="37" s="1"/>
  <c r="M44" i="37"/>
  <c r="L44" i="37"/>
  <c r="M43" i="37"/>
  <c r="L43" i="37"/>
  <c r="M42" i="37"/>
  <c r="L42" i="37"/>
  <c r="L41" i="37"/>
  <c r="K41" i="37"/>
  <c r="M41" i="37" s="1"/>
  <c r="L39" i="37"/>
  <c r="M38" i="37"/>
  <c r="L38" i="37"/>
  <c r="L37" i="37"/>
  <c r="K37" i="37"/>
  <c r="M37" i="37" s="1"/>
  <c r="L36" i="37"/>
  <c r="K36" i="37"/>
  <c r="M36" i="37" s="1"/>
  <c r="M32" i="37"/>
  <c r="M33" i="37" s="1"/>
  <c r="P20" i="37"/>
  <c r="N20" i="37"/>
  <c r="M118" i="37" l="1"/>
  <c r="G119" i="37"/>
  <c r="K119" i="37" s="1"/>
  <c r="M111" i="37"/>
  <c r="M112" i="37"/>
  <c r="M106" i="37"/>
  <c r="M107" i="37"/>
  <c r="L115" i="37"/>
  <c r="M126" i="37"/>
  <c r="K184" i="37"/>
  <c r="M184" i="37" s="1"/>
  <c r="M133" i="37"/>
  <c r="L133" i="37"/>
  <c r="M124" i="37"/>
  <c r="M120" i="37"/>
  <c r="M186" i="37"/>
  <c r="M144" i="37"/>
  <c r="M185" i="37"/>
  <c r="M189" i="37"/>
  <c r="M188" i="37"/>
  <c r="M125" i="37"/>
  <c r="M172" i="37"/>
  <c r="M183" i="37"/>
  <c r="M187" i="37"/>
  <c r="M195" i="37"/>
  <c r="M182" i="37"/>
  <c r="M145" i="37"/>
  <c r="M68" i="37"/>
  <c r="L65" i="37"/>
  <c r="L136" i="37"/>
  <c r="L137" i="37"/>
  <c r="L144" i="37"/>
  <c r="M119" i="37" l="1"/>
  <c r="M205" i="37"/>
  <c r="M101" i="37"/>
  <c r="M216" i="37" l="1"/>
</calcChain>
</file>

<file path=xl/sharedStrings.xml><?xml version="1.0" encoding="utf-8"?>
<sst xmlns="http://schemas.openxmlformats.org/spreadsheetml/2006/main" count="636" uniqueCount="404">
  <si>
    <t>REPORTE DE BIENES DE CONSUMO (ALMACÉN GENERAL)</t>
  </si>
  <si>
    <t>CODIGO INSTITUCIONAL</t>
  </si>
  <si>
    <r>
      <t>DESCRIPCI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 DE LOS ART</t>
    </r>
    <r>
      <rPr>
        <b/>
        <sz val="12"/>
        <color theme="1"/>
        <rFont val="Calibri"/>
        <family val="2"/>
      </rPr>
      <t>Í</t>
    </r>
    <r>
      <rPr>
        <b/>
        <sz val="12"/>
        <color theme="1"/>
        <rFont val="Calibri"/>
        <family val="2"/>
        <scheme val="minor"/>
      </rPr>
      <t>CULOS</t>
    </r>
  </si>
  <si>
    <t>UNIDAD</t>
  </si>
  <si>
    <t>INVENTARIO INICIAL / UNIDADES</t>
  </si>
  <si>
    <t>COSTO RD$</t>
  </si>
  <si>
    <t>ENTRADAS / UNIDADES</t>
  </si>
  <si>
    <t>COSTO ENTRADAS EN RD$</t>
  </si>
  <si>
    <r>
      <t>FECHA DE ADQUISICI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</t>
    </r>
  </si>
  <si>
    <t>FECHA DE REGISTRO</t>
  </si>
  <si>
    <t>SALIDAS / UNIDADES</t>
  </si>
  <si>
    <t>COSTO SALIDAS EN RD$</t>
  </si>
  <si>
    <t>EXISTENCIA / UNIDADES</t>
  </si>
  <si>
    <t>COSTO DE EXISTENCIA EN RD$</t>
  </si>
  <si>
    <t>01-01-001</t>
  </si>
  <si>
    <t>FALDO DE AGUA PLANETA 20/1</t>
  </si>
  <si>
    <t>2.3.7.1.01</t>
  </si>
  <si>
    <t>01-01-002</t>
  </si>
  <si>
    <t>01-01-003</t>
  </si>
  <si>
    <t>01-01-004</t>
  </si>
  <si>
    <t>CAJITA DE TE MANZANILLA MIEL Y VAINILLA</t>
  </si>
  <si>
    <t>CAJA</t>
  </si>
  <si>
    <t>01-01-005</t>
  </si>
  <si>
    <t>CAJITA DE TE FRESA,MANGO</t>
  </si>
  <si>
    <t>01-01-006</t>
  </si>
  <si>
    <t>CAJITA DE TE FRAMBUESA Y GRANADA</t>
  </si>
  <si>
    <t>UND</t>
  </si>
  <si>
    <t>2.3.7.1.02</t>
  </si>
  <si>
    <t>TOTAL</t>
  </si>
  <si>
    <t>EQUIPO DE COCINA</t>
  </si>
  <si>
    <t>HERRAMIENTAS MENORES</t>
  </si>
  <si>
    <t>2.3.9.2.01</t>
  </si>
  <si>
    <t>COMBUSTIBLES</t>
  </si>
  <si>
    <t>01-09-001</t>
  </si>
  <si>
    <t>GASOLINA</t>
  </si>
  <si>
    <t>GL</t>
  </si>
  <si>
    <t>01-10-001</t>
  </si>
  <si>
    <t>GASOIL</t>
  </si>
  <si>
    <t>MATERIALES DE LIMPIEZA</t>
  </si>
  <si>
    <t>01-11-001</t>
  </si>
  <si>
    <t>ESCOBA CON PALO REINA</t>
  </si>
  <si>
    <t>2.3.9.1.01</t>
  </si>
  <si>
    <t>01-11-002</t>
  </si>
  <si>
    <t>PAQ</t>
  </si>
  <si>
    <t>01-11-004</t>
  </si>
  <si>
    <t>01-11-006</t>
  </si>
  <si>
    <t>ESPONJA / BRILLO SCOTT</t>
  </si>
  <si>
    <t>01-11-007</t>
  </si>
  <si>
    <t>ESCOBILLA DE INODORO REINA</t>
  </si>
  <si>
    <t>01-11-008</t>
  </si>
  <si>
    <t>01-11-009</t>
  </si>
  <si>
    <t>LANILLA KLINACCION</t>
  </si>
  <si>
    <t>01-11-010</t>
  </si>
  <si>
    <t>PAQUETE 1/3 LANILLA MULTICOLOR</t>
  </si>
  <si>
    <t>01-11-011</t>
  </si>
  <si>
    <t>LANILLA MULTICOLOR</t>
  </si>
  <si>
    <t>ACE DE  30 LIBRAS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</si>
  <si>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</si>
  <si>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</si>
  <si>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</si>
  <si>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</si>
  <si>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</si>
  <si>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</si>
  <si>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</si>
  <si>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</si>
  <si>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</si>
  <si>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</si>
  <si>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</si>
  <si>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</si>
  <si>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</si>
  <si>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</si>
  <si>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</si>
  <si>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</si>
  <si>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</si>
  <si>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</si>
  <si>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</si>
  <si>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</si>
  <si>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</si>
  <si>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</si>
  <si>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</si>
  <si>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</si>
  <si>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</si>
  <si>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</si>
  <si>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</si>
  <si>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</si>
  <si>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01-11-030</t>
  </si>
  <si>
    <t>PAPEL DE BAÑO</t>
  </si>
  <si>
    <t>01-11-031</t>
  </si>
  <si>
    <t>FALDO PAPEL TOALLA 1/6</t>
  </si>
  <si>
    <t>PAPEL TOALLA</t>
  </si>
  <si>
    <t>01-11-033</t>
  </si>
  <si>
    <t>01-11-034</t>
  </si>
  <si>
    <t>01-11-035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</si>
  <si>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</si>
  <si>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</si>
  <si>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</si>
  <si>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</si>
  <si>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</si>
  <si>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</si>
  <si>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</si>
  <si>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>01-11-040</t>
  </si>
  <si>
    <t>01-11-041</t>
  </si>
  <si>
    <t>RECOGEDOR DE BASURA</t>
  </si>
  <si>
    <t>01-11-042</t>
  </si>
  <si>
    <t>01-11-043</t>
  </si>
  <si>
    <t>PIEDRA PARA BAÑO AROMATICAS VIRGINIA</t>
  </si>
  <si>
    <r>
      <rPr>
        <b/>
        <sz val="12"/>
        <rFont val="Calibri"/>
        <family val="2"/>
      </rPr>
      <t>Ú</t>
    </r>
    <r>
      <rPr>
        <b/>
        <sz val="12"/>
        <rFont val="Calibri"/>
        <family val="2"/>
        <scheme val="minor"/>
      </rPr>
      <t>TILES DE ESCRITORIO, OFICINA E INFORMATICA</t>
    </r>
  </si>
  <si>
    <t>01-12-001</t>
  </si>
  <si>
    <t>01-12-002</t>
  </si>
  <si>
    <t>01-12-003</t>
  </si>
  <si>
    <t>01-12-004</t>
  </si>
  <si>
    <t>01-12-005</t>
  </si>
  <si>
    <t>01-12-006</t>
  </si>
  <si>
    <t>LIBRETAS RAYADAS 5/8</t>
  </si>
  <si>
    <t>01-12-007</t>
  </si>
  <si>
    <t>01-12-008</t>
  </si>
  <si>
    <t>LIBREAS RAYADAS 8/11</t>
  </si>
  <si>
    <t>01-12-009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</si>
  <si>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</si>
  <si>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</si>
  <si>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</si>
  <si>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</si>
  <si>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</si>
  <si>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</si>
  <si>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</si>
  <si>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01-12-013</t>
  </si>
  <si>
    <t>01-12-014</t>
  </si>
  <si>
    <t>DISPENSADOR DE CINTAS</t>
  </si>
  <si>
    <t>01-12-015</t>
  </si>
  <si>
    <t>CAJA DE LAPIZ ARTESCO 12/1</t>
  </si>
  <si>
    <t>01-12-016</t>
  </si>
  <si>
    <t>01-12-017</t>
  </si>
  <si>
    <t>01-12-018</t>
  </si>
  <si>
    <t>01-12-019</t>
  </si>
  <si>
    <t>01-12-020</t>
  </si>
  <si>
    <t>CAJA DE GOMITAS GRUESAS</t>
  </si>
  <si>
    <t>01-12-021</t>
  </si>
  <si>
    <t>TONER 206A NEGRO</t>
  </si>
  <si>
    <t>01-12-022</t>
  </si>
  <si>
    <t>TONER 206-A AMARILLO</t>
  </si>
  <si>
    <t>01-12-023</t>
  </si>
  <si>
    <t>TONER HP CE285-85A</t>
  </si>
  <si>
    <t>TONER LEXMARK X463X11G</t>
  </si>
  <si>
    <t>01-12-025</t>
  </si>
  <si>
    <t>TONER 12-A</t>
  </si>
  <si>
    <t>01-12-026</t>
  </si>
  <si>
    <t>MEMORIA USB</t>
  </si>
  <si>
    <t>01-12-027</t>
  </si>
  <si>
    <t>SELLOS AUTOTINTADO MICROBAN</t>
  </si>
  <si>
    <t>01-12-028</t>
  </si>
  <si>
    <t>SELLO SECO ESCRITORIO</t>
  </si>
  <si>
    <t>01-12-029</t>
  </si>
  <si>
    <t>01-12-030</t>
  </si>
  <si>
    <t>TONER HP LASERJET  CE278A</t>
  </si>
  <si>
    <t>01-12-031</t>
  </si>
  <si>
    <t xml:space="preserve">ARMAZON  PARA ARCHIVO 8X11 </t>
  </si>
  <si>
    <t>01-12-032</t>
  </si>
  <si>
    <t>PEGA STICK UHU  40 GRMS.374117</t>
  </si>
  <si>
    <t>01-12-033</t>
  </si>
  <si>
    <t>PENDAFLEX 8X11 ESSELTE/PEN</t>
  </si>
  <si>
    <t>01-12-034</t>
  </si>
  <si>
    <t>TONER CANON 051</t>
  </si>
  <si>
    <t>01-12-035</t>
  </si>
  <si>
    <t>CAJAS CARTON BLANCAS</t>
  </si>
  <si>
    <t>01-12-036</t>
  </si>
  <si>
    <t>CAJAS MATERIALES EMPAQUE</t>
  </si>
  <si>
    <t>01-12-037</t>
  </si>
  <si>
    <t xml:space="preserve">CAJAS CARTON CALIBRE FUERTE </t>
  </si>
  <si>
    <t>01-12-038</t>
  </si>
  <si>
    <t>01-12-039</t>
  </si>
  <si>
    <t>TIJERA</t>
  </si>
  <si>
    <t>01-12-040</t>
  </si>
  <si>
    <t>CORRECTOR LIQUIDO</t>
  </si>
  <si>
    <t>01-12-041</t>
  </si>
  <si>
    <t>MARCADORES DE PIZARRA</t>
  </si>
  <si>
    <t>01-12-042</t>
  </si>
  <si>
    <t>01-12-043</t>
  </si>
  <si>
    <t>GRAPADORAS</t>
  </si>
  <si>
    <t>01-12-044</t>
  </si>
  <si>
    <t>SACA GRAPAS</t>
  </si>
  <si>
    <t>01-12-045</t>
  </si>
  <si>
    <t>CLIPS AGLUTINANTE  1"1/4</t>
  </si>
  <si>
    <t>01-12-046</t>
  </si>
  <si>
    <t>01-12-047</t>
  </si>
  <si>
    <t>RESMA PAPEL TIMBRADA CON LOGO EN HILO</t>
  </si>
  <si>
    <t>01-12-048</t>
  </si>
  <si>
    <t>RESMA PAPEL CON LOGO EN BOND</t>
  </si>
  <si>
    <t>01-12-049</t>
  </si>
  <si>
    <t>01-12-050</t>
  </si>
  <si>
    <t>01-12-051</t>
  </si>
  <si>
    <t xml:space="preserve">TARJETAS DE PRESENTACION  BIENES </t>
  </si>
  <si>
    <t>GRAND TOTAL</t>
  </si>
  <si>
    <t>SUMARIO POR PARTIDA PRESUPUESTARIA</t>
  </si>
  <si>
    <r>
      <t>C</t>
    </r>
    <r>
      <rPr>
        <b/>
        <sz val="9"/>
        <color theme="1"/>
        <rFont val="Calibri"/>
        <family val="2"/>
      </rPr>
      <t>Ó</t>
    </r>
    <r>
      <rPr>
        <b/>
        <sz val="9"/>
        <color theme="1"/>
        <rFont val="Calibri"/>
        <family val="2"/>
        <scheme val="minor"/>
      </rPr>
      <t>DIGO DE PARTIDA PRESUPUESTARIA</t>
    </r>
  </si>
  <si>
    <r>
      <t>DESCRIPCI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</t>
    </r>
  </si>
  <si>
    <t>MATERIAL DE LIMPIEZA</t>
  </si>
  <si>
    <t>UTILES OFICINA</t>
  </si>
  <si>
    <t>Encargado Administrativo/Financiero</t>
  </si>
  <si>
    <t>Revisado por:</t>
  </si>
  <si>
    <t>Aprobado por:</t>
  </si>
  <si>
    <t>PALO DE ESCOBA</t>
  </si>
  <si>
    <t>ESCOBA DE GOMA CON PALO 18¨</t>
  </si>
  <si>
    <t>CUBETA CON ESCURRIDOR 10 LITROS</t>
  </si>
  <si>
    <t>UNIDAD DE FUNDA DE BASURA 4 GALONES</t>
  </si>
  <si>
    <t>UNIDAD DE FUNDA DE BASURA 13 GALONES</t>
  </si>
  <si>
    <t>UNIDAD DE FUNDA DE BASURA 40 GALONES</t>
  </si>
  <si>
    <t>ZAFACON DE OFICINA SIN TAPA</t>
  </si>
  <si>
    <t>ZAFACON DE BAÑO CON TAPA</t>
  </si>
  <si>
    <t>TONER HP L 206 CYAN</t>
  </si>
  <si>
    <t>TONER HP L 206 MAGENTA</t>
  </si>
  <si>
    <t>01-01-017</t>
  </si>
  <si>
    <t>01-01-031</t>
  </si>
  <si>
    <t xml:space="preserve">  </t>
  </si>
  <si>
    <t>DISPENSADOR DE PAPEL HIGIENICO</t>
  </si>
  <si>
    <t>BRILLO SCOTT DE ACERO</t>
  </si>
  <si>
    <t>UNIDAD DE CLORO EN TABLETA PARA CISTERNA</t>
  </si>
  <si>
    <t>CAJITAS DE TE DE GINGER Y LIMON</t>
  </si>
  <si>
    <t xml:space="preserve">GOMA LIMPIA CRISTALES 18¨ SUPER CLEAN </t>
  </si>
  <si>
    <t>ATOMIZADOR DE 16 ONZAS</t>
  </si>
  <si>
    <t xml:space="preserve">CAJA DE NUECES MIXTAS </t>
  </si>
  <si>
    <t>PAQUETE DE AZUCAR (5 LBS)</t>
  </si>
  <si>
    <t>01-11-044</t>
  </si>
  <si>
    <t>01-11-045</t>
  </si>
  <si>
    <t>01-11-046</t>
  </si>
  <si>
    <t>01-11-047</t>
  </si>
  <si>
    <t>01-11-048</t>
  </si>
  <si>
    <t>01-11-049</t>
  </si>
  <si>
    <t>01-11-050</t>
  </si>
  <si>
    <t>01-11-051</t>
  </si>
  <si>
    <t>01-11-052</t>
  </si>
  <si>
    <t>01-11-053</t>
  </si>
  <si>
    <t>CLORO EN TABLETA</t>
  </si>
  <si>
    <t>01-12-052</t>
  </si>
  <si>
    <t>01-12-053</t>
  </si>
  <si>
    <t>01-12-054</t>
  </si>
  <si>
    <t>01-12-055</t>
  </si>
  <si>
    <t>01-12-056</t>
  </si>
  <si>
    <t>01-12-057</t>
  </si>
  <si>
    <t>01-12-058</t>
  </si>
  <si>
    <t>RESMA PAPEL 81/2 x 11</t>
  </si>
  <si>
    <t>RESMA PAPEL 81/2 x 14</t>
  </si>
  <si>
    <t>RESMA</t>
  </si>
  <si>
    <t>LIBREAS RAYADAS 81/2 X 11</t>
  </si>
  <si>
    <t>CLIPS BILLETERO 3/4 19 MM</t>
  </si>
  <si>
    <t>01-12-059</t>
  </si>
  <si>
    <t>01-12-060</t>
  </si>
  <si>
    <t>01-12-061</t>
  </si>
  <si>
    <t>01-12-062</t>
  </si>
  <si>
    <t>01-12-063</t>
  </si>
  <si>
    <t>01-12-064</t>
  </si>
  <si>
    <t>01-12-065</t>
  </si>
  <si>
    <t>CINTA ADHESIVA 3/4</t>
  </si>
  <si>
    <t>CINTA ADHESIVA DOBLE CARA</t>
  </si>
  <si>
    <t>CAJA DE GRAPA</t>
  </si>
  <si>
    <t>MARCADORES PERMANENTES ROJO</t>
  </si>
  <si>
    <t>MARCADORES PERMANENTES VERDE</t>
  </si>
  <si>
    <t>MARCADORES PERMANENTES NEGRO</t>
  </si>
  <si>
    <t>MARCADOR PIZARRA MAGICA ROJO A BASE DE AGUA</t>
  </si>
  <si>
    <t>MARCADOR PIZARRA MAGICA AZUL A BASE DE AGUA</t>
  </si>
  <si>
    <t>MARCADOR PIZARRA MAGICA VERDE A BASE DE AGUA</t>
  </si>
  <si>
    <t>RESALTADORES AMARILLOS</t>
  </si>
  <si>
    <t>RESALTADORES COLOR NARANJA</t>
  </si>
  <si>
    <t>RESALTADORES ROSADOS</t>
  </si>
  <si>
    <t>RESALTADOR AZUL</t>
  </si>
  <si>
    <t>RESALTADOR VERDE</t>
  </si>
  <si>
    <t>TABLILLA DE MADERA 8 1/2 X 11</t>
  </si>
  <si>
    <t>MOCHILA</t>
  </si>
  <si>
    <t>SACAPUNTA DR METAL</t>
  </si>
  <si>
    <t>REGLA PLASTICA 12</t>
  </si>
  <si>
    <t>PERFORADORA 2 HOYOS</t>
  </si>
  <si>
    <t>CAJAS</t>
  </si>
  <si>
    <t>LAPICERO AZUL 12/1</t>
  </si>
  <si>
    <t>LAPICERO NEGROS 12/1</t>
  </si>
  <si>
    <t>LAPICERO ROJOS 12/1</t>
  </si>
  <si>
    <t>GANCHOS PARA FOLDER 2 HOYOD 70MM</t>
  </si>
  <si>
    <t>CAJA 12</t>
  </si>
  <si>
    <t>CLIPS BILLETERO 1 1/4 32MM</t>
  </si>
  <si>
    <t>CAJAS DE SEVILLETAS NIVEO 1/60</t>
  </si>
  <si>
    <t>PAQUETE DE SERVILLETAS 50</t>
  </si>
  <si>
    <t>SOBRE MANILA   8 1/2 x14  100 UND</t>
  </si>
  <si>
    <t>FALDO PAPEL DE BAÑO 12 UND</t>
  </si>
  <si>
    <t>01-11-012</t>
  </si>
  <si>
    <t>SERVILLETAS 250/1 NIVEO</t>
  </si>
  <si>
    <t>SERVILLETAS 250/1 NIVEO (10 UNDS)</t>
  </si>
  <si>
    <t>SOBRE MANILA  8  1/2  x14</t>
  </si>
  <si>
    <t>LAPICERO AZUL</t>
  </si>
  <si>
    <t>LAPICERO NEGROS</t>
  </si>
  <si>
    <t>FOLDER   8  1/2  x14</t>
  </si>
  <si>
    <t>FOLDER   8  1/2  x11   100/1</t>
  </si>
  <si>
    <t>FOLDER   8  1/2  x14 100 UND</t>
  </si>
  <si>
    <t>FOLDER  8  1/2  x11</t>
  </si>
  <si>
    <t>SOBRE MANILA  8  1/2  x11</t>
  </si>
  <si>
    <t>01-12-066</t>
  </si>
  <si>
    <t>01-12-067</t>
  </si>
  <si>
    <t>01-12-068</t>
  </si>
  <si>
    <t>01-12-069</t>
  </si>
  <si>
    <t>01-12-070</t>
  </si>
  <si>
    <t>01-12-071</t>
  </si>
  <si>
    <t>01-12-072</t>
  </si>
  <si>
    <t>01-12-073</t>
  </si>
  <si>
    <t>01-12-074</t>
  </si>
  <si>
    <t>01-12-075</t>
  </si>
  <si>
    <t>01-12-076</t>
  </si>
  <si>
    <t>01-12-077</t>
  </si>
  <si>
    <t>01-12-078</t>
  </si>
  <si>
    <t>01-12-079</t>
  </si>
  <si>
    <t>01-12-080</t>
  </si>
  <si>
    <t>01-12-084</t>
  </si>
  <si>
    <t>01-12-087</t>
  </si>
  <si>
    <t>01-12-088</t>
  </si>
  <si>
    <t>01-12-089</t>
  </si>
  <si>
    <t>01-12-093</t>
  </si>
  <si>
    <t>PENDAFLEX 8X11 ESSELTE/PEN 25 UND</t>
  </si>
  <si>
    <t>BOTELLA DE TINTA 544  NEGRA</t>
  </si>
  <si>
    <t>BOTELLA DE TINTA 544 MAGENTA</t>
  </si>
  <si>
    <t>BOTELLA DE TINTA 544 AMARILLA</t>
  </si>
  <si>
    <t>BOTELLA DE TINTA 664 MAGENTA</t>
  </si>
  <si>
    <t>BOTELLA DE TINTA 664 CYAN AZUL</t>
  </si>
  <si>
    <t>BOTELLA DE TINTA 664 NEGRO</t>
  </si>
  <si>
    <t>FALDO</t>
  </si>
  <si>
    <t>CLIPS 50 MM</t>
  </si>
  <si>
    <t>01-12-024</t>
  </si>
  <si>
    <t>CLIPS BILLETERO  51"</t>
  </si>
  <si>
    <t>CLIPS AGLUTINANTE 51 MM</t>
  </si>
  <si>
    <t xml:space="preserve">TOALLA MICROFIBRA PARA COCINA </t>
  </si>
  <si>
    <t>GALON ABRILLANTADOE LIQUIDO DE GOMA</t>
  </si>
  <si>
    <t>CUBETA CON ESCURRIDOR 20 LITROS</t>
  </si>
  <si>
    <t>LAPIZ ARTESCO</t>
  </si>
  <si>
    <t>MARCADORES PERMANENTES AZUL</t>
  </si>
  <si>
    <t>GUILLOTINA EN METAL 15X12</t>
  </si>
  <si>
    <t>15/2/2024</t>
  </si>
  <si>
    <t>BOTELLA DE TINTA 664 YELOW</t>
  </si>
  <si>
    <t>PAQUETE CAFÉ  (1 LB)</t>
  </si>
  <si>
    <t>CLIPS BILLETERO 1  25 MM</t>
  </si>
  <si>
    <t>CLIPS BILLETERO 1   5/8 41MM</t>
  </si>
  <si>
    <t>TARJETAS DE PRESENTACION DIRECCION EJECUTIVA</t>
  </si>
  <si>
    <t>TARJETAS DE PRESENTACION CONSULTOR JURIDICO</t>
  </si>
  <si>
    <t>RESMA DE PAPEL TIMBRADO INCABIDE 500/1</t>
  </si>
  <si>
    <t>RESMA DE PAPEL HILO TIMBRADO  INCABIDE 500/1</t>
  </si>
  <si>
    <t>SOBRE MANILA BLANCO CON LOGO INCABIDE</t>
  </si>
  <si>
    <t>TARJETAS DE PRESENTACION  INMUEBLES</t>
  </si>
  <si>
    <t>BOTELLA DE TINTA 544 CYAN</t>
  </si>
  <si>
    <t>CAJA/500UND</t>
  </si>
  <si>
    <t>01-01-032</t>
  </si>
  <si>
    <t>CAJA DE TE JARABE SACA GRIPE RANGEL</t>
  </si>
  <si>
    <t>01-12-081</t>
  </si>
  <si>
    <t>01-12-082</t>
  </si>
  <si>
    <t>01-12-083</t>
  </si>
  <si>
    <t>01-12-085</t>
  </si>
  <si>
    <t>01-12-086</t>
  </si>
  <si>
    <t>01-12-090</t>
  </si>
  <si>
    <t>01-12-091</t>
  </si>
  <si>
    <t>01-12-092</t>
  </si>
  <si>
    <t>01-12-094</t>
  </si>
  <si>
    <t>01-12-095</t>
  </si>
  <si>
    <t>01-12-096</t>
  </si>
  <si>
    <t>01-12-097</t>
  </si>
  <si>
    <t>01-12-098</t>
  </si>
  <si>
    <t>01-12-099</t>
  </si>
  <si>
    <t>SOBRE 10X15</t>
  </si>
  <si>
    <t>LIBRETAS RAYADAS 5/8 PAQUETES 12 UNDS.</t>
  </si>
  <si>
    <t>SOBRE MANILA (3.5X 5.5)</t>
  </si>
  <si>
    <t>CAJA DE GOMITAS FINA</t>
  </si>
  <si>
    <t>01-11-054</t>
  </si>
  <si>
    <t>01-11-055</t>
  </si>
  <si>
    <t>01-11-056</t>
  </si>
  <si>
    <t>01-11-057</t>
  </si>
  <si>
    <t>01-11-058</t>
  </si>
  <si>
    <t>GALON DESCALYN VALERY</t>
  </si>
  <si>
    <t>01-11-059</t>
  </si>
  <si>
    <t>01-11-060</t>
  </si>
  <si>
    <t>COMPUESTO ABRASIVO ESMERIL</t>
  </si>
  <si>
    <t>01-11-061</t>
  </si>
  <si>
    <t>UNIDAD DE FUNDA DE BASURA 55 GALONES</t>
  </si>
  <si>
    <t>01-11-062</t>
  </si>
  <si>
    <t>ZAFACON RIMAX 13 GL BLANCO</t>
  </si>
  <si>
    <t>A 544</t>
  </si>
  <si>
    <t>.</t>
  </si>
  <si>
    <t xml:space="preserve">LAPICERO ROJOS </t>
  </si>
  <si>
    <t>INSTITUTO NACIONAL DE CUSTODIA Y ADMINISTRACION DE BIENES INCAUTADOS, DECOMISADOS Y EN EXTINCION DE DOMINIO (INCABIDE)</t>
  </si>
  <si>
    <t xml:space="preserve">JABON DE CUABA </t>
  </si>
  <si>
    <t>DIFERENCIAS</t>
  </si>
  <si>
    <t>ALIMENTOS Y BEBIDAS</t>
  </si>
  <si>
    <t xml:space="preserve">Lourdes Rodriguez </t>
  </si>
  <si>
    <t>Encargada de Almacén y Suministros</t>
  </si>
  <si>
    <t>Preparado por:</t>
  </si>
  <si>
    <t>Dr. Rafael Feliz Gomez</t>
  </si>
  <si>
    <t>Li. Geirin Yoel Acosta Sanchez</t>
  </si>
  <si>
    <t>Contador</t>
  </si>
  <si>
    <t>SUAPER MR MOSP#36</t>
  </si>
  <si>
    <t>ZAFACON PLASTICO DE 30 LTS CON TAPA  Y PEDAR RI</t>
  </si>
  <si>
    <t>CHIPERO DE ESTUFA</t>
  </si>
  <si>
    <t>BANDEJA RECTARGULAR</t>
  </si>
  <si>
    <t>01-11-063</t>
  </si>
  <si>
    <t>01-11-064</t>
  </si>
  <si>
    <t>01-11-065</t>
  </si>
  <si>
    <t>01-11-066</t>
  </si>
  <si>
    <t>TAPON DE FREGADERO</t>
  </si>
  <si>
    <t>GUANTES AMARILLO MANOS SUAVE</t>
  </si>
  <si>
    <t>17/06/2025</t>
  </si>
  <si>
    <t>TERMO PARA CAFÉ  2.5 LITROS</t>
  </si>
  <si>
    <t xml:space="preserve">ZAFACON PLAST. 30 LTS C/ TAPA Y PEDAL </t>
  </si>
  <si>
    <t xml:space="preserve">MANTELES PARA BANDEJA </t>
  </si>
  <si>
    <t>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</si>
</sst>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_-* #.##0.00\ _€_-;\-* #.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2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9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4" fontId="2" fillId="0" borderId="8" xfId="1" applyFont="1" applyFill="1" applyBorder="1" applyAlignment="1">
      <alignment horizontal="left"/>
    </xf>
    <xf numFmtId="164" fontId="2" fillId="0" borderId="8" xfId="1" applyFont="1" applyFill="1" applyBorder="1" applyAlignment="1">
      <alignment horizontal="center" vertical="center"/>
    </xf>
    <xf numFmtId="164" fontId="5" fillId="0" borderId="8" xfId="1" applyFont="1" applyFill="1" applyBorder="1" applyAlignment="1">
      <alignment horizontal="right" vertical="center"/>
    </xf>
    <xf numFmtId="14" fontId="5" fillId="0" borderId="8" xfId="0" applyNumberFormat="1" applyFont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4" fontId="5" fillId="0" borderId="8" xfId="0" applyNumberFormat="1" applyFont="1" applyBorder="1" applyAlignment="1">
      <alignment horizontal="center" vertical="center"/>
    </xf>
    <xf numFmtId="164" fontId="2" fillId="4" borderId="8" xfId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6" fontId="2" fillId="0" borderId="8" xfId="1" applyNumberFormat="1" applyFont="1" applyBorder="1" applyAlignment="1">
      <alignment horizontal="right" vertical="center"/>
    </xf>
    <xf numFmtId="164" fontId="2" fillId="0" borderId="8" xfId="1" applyFont="1" applyBorder="1"/>
    <xf numFmtId="0" fontId="5" fillId="0" borderId="8" xfId="0" applyFont="1" applyBorder="1" applyAlignment="1">
      <alignment vertical="center"/>
    </xf>
    <xf numFmtId="166" fontId="5" fillId="0" borderId="8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5" fillId="0" borderId="8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vertical="center"/>
    </xf>
    <xf numFmtId="166" fontId="5" fillId="0" borderId="8" xfId="1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5" borderId="23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64" fontId="3" fillId="5" borderId="26" xfId="0" applyNumberFormat="1" applyFont="1" applyFill="1" applyBorder="1" applyAlignment="1">
      <alignment vertical="center"/>
    </xf>
    <xf numFmtId="165" fontId="2" fillId="0" borderId="0" xfId="0" applyNumberFormat="1" applyFont="1"/>
    <xf numFmtId="164" fontId="5" fillId="0" borderId="8" xfId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14" fontId="2" fillId="0" borderId="8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43" fontId="2" fillId="0" borderId="0" xfId="0" applyNumberFormat="1" applyFont="1"/>
    <xf numFmtId="164" fontId="2" fillId="0" borderId="0" xfId="1" applyFont="1"/>
    <xf numFmtId="43" fontId="2" fillId="0" borderId="8" xfId="0" applyNumberFormat="1" applyFont="1" applyBorder="1" applyAlignment="1">
      <alignment vertical="center"/>
    </xf>
    <xf numFmtId="164" fontId="2" fillId="7" borderId="8" xfId="1" applyFont="1" applyFill="1" applyBorder="1" applyAlignment="1">
      <alignment vertical="center"/>
    </xf>
    <xf numFmtId="164" fontId="5" fillId="7" borderId="8" xfId="1" applyFont="1" applyFill="1" applyBorder="1" applyAlignment="1">
      <alignment horizontal="right" vertical="center"/>
    </xf>
    <xf numFmtId="164" fontId="2" fillId="0" borderId="0" xfId="0" applyNumberFormat="1" applyFont="1"/>
    <xf numFmtId="0" fontId="16" fillId="0" borderId="0" xfId="0" applyFont="1"/>
    <xf numFmtId="164" fontId="16" fillId="0" borderId="0" xfId="1" applyFont="1"/>
    <xf numFmtId="0" fontId="17" fillId="0" borderId="0" xfId="0" applyFont="1"/>
    <xf numFmtId="164" fontId="17" fillId="0" borderId="0" xfId="1" applyFont="1"/>
    <xf numFmtId="164" fontId="18" fillId="0" borderId="0" xfId="1" applyFont="1"/>
    <xf numFmtId="43" fontId="19" fillId="0" borderId="0" xfId="0" applyNumberFormat="1" applyFont="1"/>
    <xf numFmtId="164" fontId="20" fillId="0" borderId="0" xfId="1" applyFont="1"/>
    <xf numFmtId="0" fontId="20" fillId="0" borderId="0" xfId="0" applyFont="1"/>
    <xf numFmtId="0" fontId="21" fillId="0" borderId="0" xfId="0" applyFont="1"/>
    <xf numFmtId="166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/>
    </xf>
    <xf numFmtId="164" fontId="5" fillId="0" borderId="10" xfId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5" fillId="0" borderId="12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3" fillId="5" borderId="0" xfId="0" applyNumberFormat="1" applyFont="1" applyFill="1" applyAlignment="1">
      <alignment vertical="center"/>
    </xf>
    <xf numFmtId="166" fontId="9" fillId="0" borderId="12" xfId="1" applyNumberFormat="1" applyFont="1" applyFill="1" applyBorder="1" applyAlignment="1">
      <alignment horizontal="center" vertical="center"/>
    </xf>
    <xf numFmtId="164" fontId="22" fillId="3" borderId="1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2" fillId="4" borderId="17" xfId="1" applyFont="1" applyFill="1" applyBorder="1" applyAlignment="1">
      <alignment vertical="center"/>
    </xf>
    <xf numFmtId="43" fontId="2" fillId="4" borderId="0" xfId="0" applyNumberFormat="1" applyFont="1" applyFill="1" applyAlignment="1">
      <alignment vertical="center"/>
    </xf>
    <xf numFmtId="164" fontId="3" fillId="4" borderId="18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8" xfId="0" applyFont="1" applyBorder="1" applyAlignment="1">
      <alignment horizontal="left" vertical="center"/>
    </xf>
    <xf numFmtId="43" fontId="2" fillId="7" borderId="8" xfId="0" applyNumberFormat="1" applyFont="1" applyFill="1" applyBorder="1" applyAlignment="1">
      <alignment vertical="center"/>
    </xf>
    <xf numFmtId="43" fontId="5" fillId="0" borderId="8" xfId="0" applyNumberFormat="1" applyFont="1" applyBorder="1" applyAlignment="1">
      <alignment vertical="center"/>
    </xf>
    <xf numFmtId="164" fontId="5" fillId="4" borderId="0" xfId="1" applyFont="1" applyFill="1" applyBorder="1" applyAlignment="1">
      <alignment horizontal="right" vertical="center"/>
    </xf>
    <xf numFmtId="14" fontId="2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/>
    <xf numFmtId="0" fontId="2" fillId="7" borderId="27" xfId="0" applyFont="1" applyFill="1" applyBorder="1"/>
    <xf numFmtId="0" fontId="2" fillId="2" borderId="28" xfId="0" applyFont="1" applyFill="1" applyBorder="1" applyAlignment="1">
      <alignment horizontal="center" vertical="center"/>
    </xf>
    <xf numFmtId="164" fontId="2" fillId="0" borderId="12" xfId="1" applyFont="1" applyBorder="1" applyAlignment="1">
      <alignment vertical="center"/>
    </xf>
    <xf numFmtId="164" fontId="3" fillId="0" borderId="12" xfId="1" applyFont="1" applyBorder="1" applyAlignment="1">
      <alignment vertical="center"/>
    </xf>
    <xf numFmtId="164" fontId="5" fillId="0" borderId="12" xfId="1" applyFont="1" applyBorder="1" applyAlignment="1">
      <alignment vertical="center"/>
    </xf>
    <xf numFmtId="164" fontId="9" fillId="0" borderId="12" xfId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64" fontId="3" fillId="7" borderId="12" xfId="0" applyNumberFormat="1" applyFont="1" applyFill="1" applyBorder="1" applyAlignment="1">
      <alignment vertical="center"/>
    </xf>
    <xf numFmtId="0" fontId="15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4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center"/>
    </xf>
    <xf numFmtId="0" fontId="3" fillId="0" borderId="0" xfId="0" applyFont="1"/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64" fontId="3" fillId="3" borderId="20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164" fontId="3" fillId="3" borderId="21" xfId="1" applyFont="1" applyFill="1" applyBorder="1" applyAlignment="1">
      <alignment horizontal="center" vertical="center" wrapText="1"/>
    </xf>
    <xf numFmtId="166" fontId="3" fillId="3" borderId="29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vertical="center"/>
    </xf>
    <xf numFmtId="2" fontId="5" fillId="0" borderId="12" xfId="0" applyNumberFormat="1" applyFont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right" vertical="center"/>
    </xf>
    <xf numFmtId="164" fontId="5" fillId="0" borderId="15" xfId="1" applyFont="1" applyFill="1" applyBorder="1" applyAlignment="1">
      <alignment horizontal="right" vertical="center"/>
    </xf>
    <xf numFmtId="4" fontId="5" fillId="0" borderId="8" xfId="0" applyNumberFormat="1" applyFont="1" applyBorder="1"/>
    <xf numFmtId="4" fontId="5" fillId="0" borderId="0" xfId="0" applyNumberFormat="1" applyFont="1"/>
    <xf numFmtId="164" fontId="3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8" fillId="4" borderId="8" xfId="1" applyFont="1" applyFill="1" applyBorder="1" applyAlignment="1">
      <alignment vertical="center"/>
    </xf>
    <xf numFmtId="164" fontId="5" fillId="0" borderId="8" xfId="1" applyFont="1" applyBorder="1"/>
    <xf numFmtId="164" fontId="3" fillId="4" borderId="8" xfId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7" fontId="2" fillId="0" borderId="0" xfId="0" applyNumberFormat="1" applyFont="1"/>
    <xf numFmtId="164" fontId="3" fillId="0" borderId="0" xfId="1" applyFont="1"/>
    <xf numFmtId="164" fontId="5" fillId="0" borderId="0" xfId="1" applyFont="1" applyFill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 2 2" xfId="2" xr:uid="{00000000-0005-0000-0000-000002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1752599</xdr:colOff>
      <xdr:row>2</xdr:row>
      <xdr:rowOff>1809750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7352" r="8788" b="17973"/>
        <a:stretch>
          <a:fillRect/>
        </a:stretch>
      </xdr:blipFill>
      <xdr:spPr>
        <a:xfrm>
          <a:off x="0" y="104775"/>
          <a:ext cx="3314699" cy="21050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256"/>
  <sheetViews>
    <sheetView tabSelected="1" view="pageBreakPreview" topLeftCell="A187" zoomScale="62" zoomScaleNormal="62" zoomScaleSheetLayoutView="62" zoomScalePageLayoutView="60" workbookViewId="0">
      <selection activeCell="M228" sqref="A1:O228"/>
    </sheetView>
  </sheetViews>
  <sheetFormatPr defaultColWidth="11.44140625" defaultRowHeight="15.6" x14ac:dyDescent="0.3"/>
  <cols>
    <col min="1" max="1" width="23.44140625" style="1" customWidth="1"/>
    <col min="2" max="2" width="69" style="1" customWidth="1"/>
    <col min="3" max="3" width="16" style="1" customWidth="1"/>
    <col min="4" max="4" width="30.109375" style="1" customWidth="1"/>
    <col min="5" max="5" width="25.109375" style="1" customWidth="1"/>
    <col min="6" max="7" width="18.5546875" style="1" customWidth="1"/>
    <col min="8" max="9" width="20.33203125" style="1" customWidth="1"/>
    <col min="10" max="10" width="16.44140625" style="1" customWidth="1"/>
    <col min="11" max="11" width="22.109375" style="1" customWidth="1"/>
    <col min="12" max="12" width="18.33203125" style="1" customWidth="1"/>
    <col min="13" max="13" width="22.88671875" style="1" customWidth="1"/>
    <col min="14" max="14" width="29.33203125" style="1" hidden="1" customWidth="1"/>
    <col min="15" max="15" width="11.109375" style="1" hidden="1" customWidth="1"/>
    <col min="16" max="16" width="17" style="1" hidden="1" customWidth="1"/>
    <col min="17" max="17" width="23" style="1" customWidth="1"/>
    <col min="18" max="18" width="14.6640625" style="1" customWidth="1"/>
    <col min="19" max="19" width="16.44140625" style="1" customWidth="1"/>
    <col min="20" max="21" width="18.88671875" style="1" bestFit="1" customWidth="1"/>
    <col min="22" max="16384" width="11.44140625" style="1"/>
  </cols>
  <sheetData>
    <row r="3" spans="1:19" ht="144" customHeight="1" x14ac:dyDescent="0.3"/>
    <row r="4" spans="1:19" x14ac:dyDescent="0.3">
      <c r="A4" s="146" t="s">
        <v>379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9" x14ac:dyDescent="0.3">
      <c r="A5" s="183" t="s">
        <v>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9" x14ac:dyDescent="0.3">
      <c r="A6" s="183" t="s">
        <v>403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9" ht="16.2" thickBot="1" x14ac:dyDescent="0.35"/>
    <row r="8" spans="1:19" ht="31.8" thickBot="1" x14ac:dyDescent="0.35">
      <c r="A8" s="2" t="s">
        <v>1</v>
      </c>
      <c r="B8" s="3" t="s">
        <v>2</v>
      </c>
      <c r="C8" s="3" t="s">
        <v>3</v>
      </c>
      <c r="D8" s="4" t="s">
        <v>4</v>
      </c>
      <c r="E8" s="5" t="s">
        <v>5</v>
      </c>
      <c r="F8" s="4" t="s">
        <v>6</v>
      </c>
      <c r="G8" s="4" t="s">
        <v>7</v>
      </c>
      <c r="H8" s="2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104"/>
      <c r="O8" s="171"/>
      <c r="P8" s="132" t="s">
        <v>381</v>
      </c>
    </row>
    <row r="9" spans="1:19" x14ac:dyDescent="0.3">
      <c r="A9" s="171"/>
      <c r="B9" s="171"/>
      <c r="C9" s="171"/>
      <c r="D9" s="171"/>
      <c r="E9" s="171"/>
      <c r="F9" s="171"/>
      <c r="G9" s="171"/>
      <c r="H9" s="171"/>
      <c r="I9" s="171"/>
      <c r="J9" s="171" t="s">
        <v>212</v>
      </c>
      <c r="K9" s="171"/>
      <c r="L9" s="171"/>
      <c r="M9" s="171"/>
      <c r="N9" s="171"/>
      <c r="O9" s="171"/>
    </row>
    <row r="10" spans="1:19" x14ac:dyDescent="0.3">
      <c r="A10" s="184" t="s">
        <v>382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31"/>
    </row>
    <row r="11" spans="1:19" x14ac:dyDescent="0.3">
      <c r="A11" s="80" t="s">
        <v>14</v>
      </c>
      <c r="B11" s="7" t="s">
        <v>15</v>
      </c>
      <c r="C11" s="8" t="s">
        <v>26</v>
      </c>
      <c r="D11" s="9">
        <v>77</v>
      </c>
      <c r="E11" s="41">
        <v>10429.730473047304</v>
      </c>
      <c r="F11" s="41"/>
      <c r="G11" s="11"/>
      <c r="H11" s="12">
        <v>45834</v>
      </c>
      <c r="I11" s="12">
        <v>45834</v>
      </c>
      <c r="J11" s="11">
        <f>14+15+22</f>
        <v>51</v>
      </c>
      <c r="K11" s="11">
        <f>+E11/D11*J11</f>
        <v>6908.0033003300332</v>
      </c>
      <c r="L11" s="13">
        <f>+D11-J11</f>
        <v>26</v>
      </c>
      <c r="M11" s="76">
        <f>+E11+G11-K11</f>
        <v>3521.7271727172711</v>
      </c>
      <c r="N11" s="105">
        <v>16250</v>
      </c>
      <c r="O11" s="83" t="s">
        <v>16</v>
      </c>
      <c r="P11" s="41">
        <v>4513.8888888888887</v>
      </c>
      <c r="Q11" s="89"/>
      <c r="R11" s="89"/>
      <c r="S11" s="89"/>
    </row>
    <row r="12" spans="1:19" x14ac:dyDescent="0.3">
      <c r="A12" s="80" t="s">
        <v>17</v>
      </c>
      <c r="B12" s="7" t="s">
        <v>220</v>
      </c>
      <c r="C12" s="8" t="s">
        <v>26</v>
      </c>
      <c r="D12" s="9">
        <v>46</v>
      </c>
      <c r="E12" s="41">
        <v>9405.3604093567246</v>
      </c>
      <c r="F12" s="41"/>
      <c r="G12" s="11"/>
      <c r="H12" s="12">
        <v>45763</v>
      </c>
      <c r="I12" s="12">
        <v>45763</v>
      </c>
      <c r="J12" s="11">
        <f>5+4+6</f>
        <v>15</v>
      </c>
      <c r="K12" s="11">
        <f t="shared" ref="K12:K18" si="0">+E12/D12*J12</f>
        <v>3066.965350877193</v>
      </c>
      <c r="L12" s="13">
        <f t="shared" ref="L12:L19" si="1">+D12-J12</f>
        <v>31</v>
      </c>
      <c r="M12" s="76">
        <f>+E12+G12-K12</f>
        <v>6338.3950584795311</v>
      </c>
      <c r="N12" s="105">
        <v>9193.6047058823533</v>
      </c>
      <c r="O12" s="83"/>
      <c r="P12" s="41">
        <v>5171.4026470588233</v>
      </c>
      <c r="Q12" s="89"/>
      <c r="R12" s="89"/>
      <c r="S12" s="89"/>
    </row>
    <row r="13" spans="1:19" x14ac:dyDescent="0.3">
      <c r="A13" s="80" t="s">
        <v>18</v>
      </c>
      <c r="B13" s="7" t="s">
        <v>332</v>
      </c>
      <c r="C13" s="8" t="s">
        <v>26</v>
      </c>
      <c r="D13" s="9">
        <v>45</v>
      </c>
      <c r="E13" s="41">
        <v>16549.885714285712</v>
      </c>
      <c r="F13" s="41"/>
      <c r="G13" s="11"/>
      <c r="H13" s="12">
        <v>45763</v>
      </c>
      <c r="I13" s="12">
        <v>45763</v>
      </c>
      <c r="J13" s="11">
        <f>11+10+9</f>
        <v>30</v>
      </c>
      <c r="K13" s="11">
        <f t="shared" si="0"/>
        <v>11033.257142857141</v>
      </c>
      <c r="L13" s="13">
        <f t="shared" si="1"/>
        <v>15</v>
      </c>
      <c r="M13" s="76">
        <f t="shared" ref="M13:M19" si="2">+E13+G13-K13</f>
        <v>5516.6285714285714</v>
      </c>
      <c r="N13" s="105">
        <v>17956.8</v>
      </c>
      <c r="O13" s="83"/>
      <c r="P13" s="41">
        <v>5985.5999999999995</v>
      </c>
      <c r="Q13" s="89"/>
      <c r="R13" s="89"/>
      <c r="S13" s="89"/>
    </row>
    <row r="14" spans="1:19" x14ac:dyDescent="0.3">
      <c r="A14" s="80" t="s">
        <v>19</v>
      </c>
      <c r="B14" s="7" t="s">
        <v>20</v>
      </c>
      <c r="C14" s="8" t="s">
        <v>21</v>
      </c>
      <c r="D14" s="9">
        <v>15</v>
      </c>
      <c r="E14" s="41">
        <v>5187.1812500000005</v>
      </c>
      <c r="F14" s="41"/>
      <c r="G14" s="11"/>
      <c r="H14" s="12">
        <v>45763</v>
      </c>
      <c r="I14" s="12">
        <v>45763</v>
      </c>
      <c r="J14" s="11">
        <v>0</v>
      </c>
      <c r="K14" s="11">
        <f t="shared" si="0"/>
        <v>0</v>
      </c>
      <c r="L14" s="13">
        <f t="shared" si="1"/>
        <v>15</v>
      </c>
      <c r="M14" s="76">
        <f t="shared" si="2"/>
        <v>5187.1812500000005</v>
      </c>
      <c r="N14" s="105">
        <v>2735.991111111111</v>
      </c>
      <c r="O14" s="83"/>
      <c r="P14" s="41">
        <v>2051.9933333333333</v>
      </c>
      <c r="Q14" s="89"/>
      <c r="R14" s="89"/>
      <c r="S14" s="89"/>
    </row>
    <row r="15" spans="1:19" x14ac:dyDescent="0.3">
      <c r="A15" s="80" t="s">
        <v>22</v>
      </c>
      <c r="B15" s="7" t="s">
        <v>23</v>
      </c>
      <c r="C15" s="8" t="s">
        <v>21</v>
      </c>
      <c r="D15" s="9">
        <v>12</v>
      </c>
      <c r="E15" s="41">
        <v>4160.3049230769229</v>
      </c>
      <c r="F15" s="41"/>
      <c r="G15" s="11"/>
      <c r="H15" s="12">
        <v>45763</v>
      </c>
      <c r="I15" s="12">
        <v>45763</v>
      </c>
      <c r="J15" s="11">
        <v>1</v>
      </c>
      <c r="K15" s="11">
        <f t="shared" si="0"/>
        <v>346.69207692307691</v>
      </c>
      <c r="L15" s="13">
        <f t="shared" si="1"/>
        <v>11</v>
      </c>
      <c r="M15" s="76">
        <f t="shared" si="2"/>
        <v>3813.612846153846</v>
      </c>
      <c r="N15" s="105">
        <v>2735.9920000000002</v>
      </c>
      <c r="O15" s="83"/>
      <c r="P15" s="41">
        <v>1709.9950000000001</v>
      </c>
      <c r="Q15" s="89"/>
      <c r="R15" s="89"/>
      <c r="S15" s="89"/>
    </row>
    <row r="16" spans="1:19" x14ac:dyDescent="0.3">
      <c r="A16" s="80" t="s">
        <v>24</v>
      </c>
      <c r="B16" s="7" t="s">
        <v>25</v>
      </c>
      <c r="C16" s="8" t="s">
        <v>21</v>
      </c>
      <c r="D16" s="9">
        <v>2</v>
      </c>
      <c r="E16" s="41">
        <v>719.98</v>
      </c>
      <c r="F16" s="41"/>
      <c r="G16" s="11"/>
      <c r="H16" s="12">
        <v>45086</v>
      </c>
      <c r="I16" s="12">
        <v>45086</v>
      </c>
      <c r="J16" s="11">
        <v>0</v>
      </c>
      <c r="K16" s="11">
        <f t="shared" si="0"/>
        <v>0</v>
      </c>
      <c r="L16" s="13">
        <f t="shared" si="1"/>
        <v>2</v>
      </c>
      <c r="M16" s="76">
        <f t="shared" si="2"/>
        <v>719.98</v>
      </c>
      <c r="N16" s="105">
        <v>1079.97</v>
      </c>
      <c r="O16" s="83"/>
      <c r="P16" s="41">
        <v>1079.97</v>
      </c>
      <c r="Q16" s="89"/>
      <c r="R16" s="89"/>
      <c r="S16" s="89"/>
    </row>
    <row r="17" spans="1:19" x14ac:dyDescent="0.3">
      <c r="A17" s="80" t="s">
        <v>210</v>
      </c>
      <c r="B17" s="7" t="s">
        <v>219</v>
      </c>
      <c r="C17" s="8" t="s">
        <v>21</v>
      </c>
      <c r="D17" s="9">
        <v>0</v>
      </c>
      <c r="E17" s="41">
        <v>0</v>
      </c>
      <c r="F17" s="41"/>
      <c r="G17" s="11"/>
      <c r="H17" s="12">
        <v>45763</v>
      </c>
      <c r="I17" s="12">
        <v>45763</v>
      </c>
      <c r="J17" s="11">
        <v>0</v>
      </c>
      <c r="K17" s="11">
        <v>0</v>
      </c>
      <c r="L17" s="13">
        <f t="shared" si="1"/>
        <v>0</v>
      </c>
      <c r="M17" s="76">
        <v>0</v>
      </c>
      <c r="N17" s="106">
        <v>0</v>
      </c>
      <c r="O17" s="84"/>
      <c r="P17" s="41">
        <v>0</v>
      </c>
      <c r="Q17" s="89"/>
      <c r="R17" s="89"/>
      <c r="S17" s="89"/>
    </row>
    <row r="18" spans="1:19" x14ac:dyDescent="0.3">
      <c r="A18" s="80" t="s">
        <v>211</v>
      </c>
      <c r="B18" s="7" t="s">
        <v>216</v>
      </c>
      <c r="C18" s="8" t="s">
        <v>21</v>
      </c>
      <c r="D18" s="9">
        <v>9</v>
      </c>
      <c r="E18" s="41">
        <v>3026.7</v>
      </c>
      <c r="F18" s="41"/>
      <c r="G18" s="11"/>
      <c r="H18" s="12">
        <v>45763</v>
      </c>
      <c r="I18" s="12">
        <v>45763</v>
      </c>
      <c r="J18" s="11">
        <v>0</v>
      </c>
      <c r="K18" s="11">
        <f t="shared" si="0"/>
        <v>0</v>
      </c>
      <c r="L18" s="13">
        <f t="shared" si="1"/>
        <v>9</v>
      </c>
      <c r="M18" s="76">
        <f t="shared" si="2"/>
        <v>3026.7</v>
      </c>
      <c r="N18" s="106">
        <v>1175.9900000000002</v>
      </c>
      <c r="O18" s="84"/>
      <c r="P18" s="41">
        <v>0</v>
      </c>
      <c r="Q18" s="89"/>
      <c r="R18" s="89"/>
      <c r="S18" s="89"/>
    </row>
    <row r="19" spans="1:19" x14ac:dyDescent="0.3">
      <c r="A19" s="80" t="s">
        <v>343</v>
      </c>
      <c r="B19" s="7" t="s">
        <v>344</v>
      </c>
      <c r="C19" s="8" t="s">
        <v>21</v>
      </c>
      <c r="D19" s="9">
        <v>4</v>
      </c>
      <c r="E19" s="41">
        <v>3768.92</v>
      </c>
      <c r="F19" s="41"/>
      <c r="G19" s="11"/>
      <c r="H19" s="12">
        <v>45763</v>
      </c>
      <c r="I19" s="12">
        <v>45763</v>
      </c>
      <c r="J19" s="11">
        <v>0</v>
      </c>
      <c r="K19" s="11">
        <f>+E19/D19*J19</f>
        <v>0</v>
      </c>
      <c r="L19" s="13">
        <f t="shared" si="1"/>
        <v>4</v>
      </c>
      <c r="M19" s="76">
        <f t="shared" si="2"/>
        <v>3768.92</v>
      </c>
      <c r="N19" s="106">
        <v>1980</v>
      </c>
      <c r="O19" s="84"/>
      <c r="P19" s="41">
        <v>0</v>
      </c>
      <c r="Q19" s="89"/>
      <c r="R19" s="89"/>
      <c r="S19" s="89"/>
    </row>
    <row r="20" spans="1:19" x14ac:dyDescent="0.3">
      <c r="A20" s="186" t="s">
        <v>28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5">
        <f>SUM(M11:M19)</f>
        <v>31893.144898779217</v>
      </c>
      <c r="N20" s="15">
        <f>SUM(N11:N19)</f>
        <v>53108.347816993461</v>
      </c>
      <c r="O20" s="85"/>
      <c r="P20" s="130">
        <f>SUM(P11:P19)</f>
        <v>20512.849869281043</v>
      </c>
      <c r="Q20" s="173"/>
      <c r="R20" s="89"/>
      <c r="S20" s="89"/>
    </row>
    <row r="21" spans="1:19" x14ac:dyDescent="0.3">
      <c r="A21" s="171"/>
      <c r="B21" s="171"/>
      <c r="C21" s="171"/>
      <c r="D21" s="171"/>
      <c r="E21" s="17"/>
      <c r="F21" s="171"/>
      <c r="G21" s="171"/>
      <c r="H21" s="171"/>
      <c r="I21" s="171"/>
      <c r="J21" s="171"/>
      <c r="K21" s="171"/>
      <c r="L21" s="171"/>
      <c r="M21" s="81"/>
      <c r="N21" s="107"/>
      <c r="O21" s="171"/>
      <c r="S21" s="89"/>
    </row>
    <row r="22" spans="1:19" x14ac:dyDescent="0.3">
      <c r="A22" s="188" t="s">
        <v>29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90"/>
      <c r="S22" s="89"/>
    </row>
    <row r="23" spans="1:19" x14ac:dyDescent="0.3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70"/>
      <c r="S23" s="89"/>
    </row>
    <row r="24" spans="1:19" x14ac:dyDescent="0.3">
      <c r="A24" s="186" t="s">
        <v>28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5"/>
      <c r="N24" s="15"/>
      <c r="O24" s="16"/>
      <c r="S24" s="89"/>
    </row>
    <row r="25" spans="1:19" x14ac:dyDescent="0.3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S25" s="89"/>
    </row>
    <row r="26" spans="1:19" x14ac:dyDescent="0.3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S26" s="89"/>
    </row>
    <row r="27" spans="1:19" s="18" customFormat="1" ht="21.9" customHeight="1" x14ac:dyDescent="0.3">
      <c r="A27" s="191" t="s">
        <v>30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  <c r="S27" s="58"/>
    </row>
    <row r="28" spans="1:19" s="18" customFormat="1" ht="21.9" customHeight="1" x14ac:dyDescent="0.3">
      <c r="A28" s="22" t="s">
        <v>28</v>
      </c>
      <c r="B28" s="23"/>
      <c r="C28" s="23"/>
      <c r="D28" s="23"/>
      <c r="E28" s="24"/>
      <c r="F28" s="23"/>
      <c r="G28" s="23"/>
      <c r="H28" s="23"/>
      <c r="I28" s="23"/>
      <c r="J28" s="25"/>
      <c r="K28" s="25"/>
      <c r="L28" s="25"/>
      <c r="M28" s="26"/>
      <c r="N28" s="26"/>
      <c r="O28" s="27"/>
      <c r="Q28" s="154"/>
      <c r="S28" s="58"/>
    </row>
    <row r="29" spans="1:19" x14ac:dyDescent="0.3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31"/>
      <c r="Q29" s="172"/>
      <c r="S29" s="89"/>
    </row>
    <row r="30" spans="1:19" s="18" customFormat="1" ht="21.9" customHeight="1" x14ac:dyDescent="0.3">
      <c r="A30" s="188" t="s">
        <v>32</v>
      </c>
      <c r="B30" s="189"/>
      <c r="C30" s="189"/>
      <c r="D30" s="189"/>
      <c r="E30" s="194"/>
      <c r="F30" s="189"/>
      <c r="G30" s="189"/>
      <c r="H30" s="189"/>
      <c r="I30" s="189"/>
      <c r="J30" s="189"/>
      <c r="K30" s="189"/>
      <c r="L30" s="189"/>
      <c r="M30" s="189"/>
      <c r="N30" s="189"/>
      <c r="O30" s="190"/>
      <c r="S30" s="58"/>
    </row>
    <row r="31" spans="1:19" s="18" customFormat="1" ht="21.9" customHeight="1" x14ac:dyDescent="0.3">
      <c r="A31" s="129" t="s">
        <v>33</v>
      </c>
      <c r="B31" s="125" t="s">
        <v>34</v>
      </c>
      <c r="C31" s="21" t="s">
        <v>35</v>
      </c>
      <c r="D31" s="155">
        <v>988.69998178506376</v>
      </c>
      <c r="E31" s="156">
        <v>444100</v>
      </c>
      <c r="F31" s="157">
        <f>+G31/274.5</f>
        <v>3220.4007285974499</v>
      </c>
      <c r="G31" s="157">
        <f>581000+303000</f>
        <v>884000</v>
      </c>
      <c r="H31" s="12">
        <v>45835</v>
      </c>
      <c r="I31" s="12">
        <v>45835</v>
      </c>
      <c r="J31" s="11">
        <v>1316.2112932604737</v>
      </c>
      <c r="K31" s="158">
        <f>301700+417300+383400</f>
        <v>1102400</v>
      </c>
      <c r="L31" s="11">
        <v>988.69998178506376</v>
      </c>
      <c r="M31" s="76">
        <f>+E31+G31-K31</f>
        <v>225700</v>
      </c>
      <c r="N31" s="113"/>
      <c r="O31" s="14" t="s">
        <v>16</v>
      </c>
      <c r="Q31" s="174"/>
      <c r="R31" s="58"/>
      <c r="S31" s="58"/>
    </row>
    <row r="32" spans="1:19" s="18" customFormat="1" ht="21.9" customHeight="1" x14ac:dyDescent="0.3">
      <c r="A32" s="129" t="s">
        <v>36</v>
      </c>
      <c r="B32" s="125" t="s">
        <v>37</v>
      </c>
      <c r="C32" s="21" t="s">
        <v>35</v>
      </c>
      <c r="D32" s="155">
        <v>0</v>
      </c>
      <c r="E32" s="159">
        <v>0</v>
      </c>
      <c r="F32" s="157">
        <f>+G32/274.5</f>
        <v>0</v>
      </c>
      <c r="G32" s="157">
        <v>0</v>
      </c>
      <c r="H32" s="12">
        <v>45835</v>
      </c>
      <c r="I32" s="12">
        <v>45835</v>
      </c>
      <c r="J32" s="45"/>
      <c r="K32" s="159">
        <v>0</v>
      </c>
      <c r="L32" s="11"/>
      <c r="M32" s="76">
        <f>+E32+G32-K32</f>
        <v>0</v>
      </c>
      <c r="N32" s="113"/>
      <c r="O32" s="14" t="s">
        <v>27</v>
      </c>
      <c r="Q32" s="174"/>
      <c r="S32" s="58"/>
    </row>
    <row r="33" spans="1:19" s="18" customFormat="1" ht="21.9" customHeight="1" x14ac:dyDescent="0.3">
      <c r="A33" s="186" t="s">
        <v>28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26">
        <f>SUM(M31:M32)</f>
        <v>225700</v>
      </c>
      <c r="N33" s="114"/>
      <c r="O33" s="16"/>
      <c r="Q33" s="122"/>
      <c r="S33" s="58"/>
    </row>
    <row r="34" spans="1:19" s="18" customFormat="1" ht="21.9" customHeight="1" x14ac:dyDescent="0.3">
      <c r="A34" s="32"/>
      <c r="B34" s="33"/>
      <c r="C34" s="33"/>
      <c r="D34" s="33"/>
      <c r="E34" s="34"/>
      <c r="F34" s="34"/>
      <c r="G34" s="33"/>
      <c r="H34" s="33"/>
      <c r="I34" s="33"/>
      <c r="J34" s="35"/>
      <c r="K34" s="36"/>
      <c r="L34" s="82"/>
      <c r="M34" s="33"/>
      <c r="N34" s="33"/>
      <c r="O34" s="37"/>
      <c r="S34" s="58"/>
    </row>
    <row r="35" spans="1:19" s="18" customFormat="1" ht="21.9" customHeight="1" x14ac:dyDescent="0.3">
      <c r="A35" s="188" t="s">
        <v>38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Q35" s="160"/>
      <c r="S35" s="58"/>
    </row>
    <row r="36" spans="1:19" s="18" customFormat="1" ht="21.9" customHeight="1" x14ac:dyDescent="0.3">
      <c r="A36" s="38" t="s">
        <v>39</v>
      </c>
      <c r="B36" s="39" t="s">
        <v>40</v>
      </c>
      <c r="C36" s="8" t="s">
        <v>26</v>
      </c>
      <c r="D36" s="40">
        <v>8</v>
      </c>
      <c r="E36" s="41">
        <v>1609.2115384615383</v>
      </c>
      <c r="F36" s="41">
        <v>0</v>
      </c>
      <c r="G36" s="41">
        <v>0</v>
      </c>
      <c r="H36" s="19">
        <v>45092</v>
      </c>
      <c r="I36" s="19">
        <v>45092</v>
      </c>
      <c r="J36" s="41">
        <f>1+1</f>
        <v>2</v>
      </c>
      <c r="K36" s="11">
        <f>+E36/D36*J36</f>
        <v>402.30288461538458</v>
      </c>
      <c r="L36" s="127">
        <f>+D36+F36-J36</f>
        <v>6</v>
      </c>
      <c r="M36" s="76">
        <f t="shared" ref="M36:M100" si="3">+E36+G36-K36</f>
        <v>1206.9086538461538</v>
      </c>
      <c r="N36" s="108">
        <v>1569.96875</v>
      </c>
      <c r="O36" s="86" t="s">
        <v>41</v>
      </c>
      <c r="P36" s="133">
        <v>1609.2115384615383</v>
      </c>
      <c r="Q36" s="58"/>
      <c r="R36" s="58"/>
      <c r="S36" s="58"/>
    </row>
    <row r="37" spans="1:19" s="18" customFormat="1" ht="21.9" customHeight="1" x14ac:dyDescent="0.3">
      <c r="A37" s="38" t="s">
        <v>42</v>
      </c>
      <c r="B37" s="39" t="s">
        <v>200</v>
      </c>
      <c r="C37" s="8" t="s">
        <v>26</v>
      </c>
      <c r="D37" s="40">
        <v>3</v>
      </c>
      <c r="E37" s="41">
        <v>840.01250000000016</v>
      </c>
      <c r="F37" s="41">
        <v>0</v>
      </c>
      <c r="G37" s="41">
        <v>0</v>
      </c>
      <c r="H37" s="19">
        <v>45092</v>
      </c>
      <c r="I37" s="19">
        <v>45092</v>
      </c>
      <c r="J37" s="41">
        <v>0</v>
      </c>
      <c r="K37" s="11">
        <f>+E37/D37*J37</f>
        <v>0</v>
      </c>
      <c r="L37" s="127">
        <f>+D37+F37-J37</f>
        <v>3</v>
      </c>
      <c r="M37" s="76">
        <f t="shared" si="3"/>
        <v>840.01250000000016</v>
      </c>
      <c r="N37" s="108">
        <v>1680.0250000000001</v>
      </c>
      <c r="O37" s="86"/>
      <c r="P37" s="133">
        <v>840.01250000000016</v>
      </c>
      <c r="Q37" s="58"/>
      <c r="R37" s="58"/>
      <c r="S37" s="58"/>
    </row>
    <row r="38" spans="1:19" s="18" customFormat="1" ht="21.9" customHeight="1" x14ac:dyDescent="0.3">
      <c r="A38" s="38" t="s">
        <v>44</v>
      </c>
      <c r="B38" s="42" t="s">
        <v>389</v>
      </c>
      <c r="C38" s="21" t="s">
        <v>26</v>
      </c>
      <c r="D38" s="43">
        <v>0</v>
      </c>
      <c r="E38" s="41">
        <v>0</v>
      </c>
      <c r="F38" s="41">
        <v>12</v>
      </c>
      <c r="G38" s="41">
        <f>2148+386.64</f>
        <v>2534.64</v>
      </c>
      <c r="H38" s="19">
        <v>45092</v>
      </c>
      <c r="I38" s="19">
        <v>45092</v>
      </c>
      <c r="J38" s="41">
        <f>2+3</f>
        <v>5</v>
      </c>
      <c r="K38" s="11">
        <f>+G38/F38*J38</f>
        <v>1056.0999999999999</v>
      </c>
      <c r="L38" s="127">
        <f t="shared" ref="L38:L87" si="4">+D38+F38-J38</f>
        <v>7</v>
      </c>
      <c r="M38" s="76">
        <f t="shared" si="3"/>
        <v>1478.54</v>
      </c>
      <c r="N38" s="108">
        <v>932.35945846153879</v>
      </c>
      <c r="O38" s="54" t="s">
        <v>41</v>
      </c>
      <c r="P38" s="133">
        <v>0</v>
      </c>
      <c r="Q38" s="58"/>
      <c r="R38" s="58"/>
      <c r="S38" s="58"/>
    </row>
    <row r="39" spans="1:19" s="18" customFormat="1" ht="21.9" customHeight="1" x14ac:dyDescent="0.3">
      <c r="A39" s="38" t="s">
        <v>45</v>
      </c>
      <c r="B39" s="39" t="s">
        <v>46</v>
      </c>
      <c r="C39" s="8" t="s">
        <v>26</v>
      </c>
      <c r="D39" s="40">
        <v>0</v>
      </c>
      <c r="E39" s="41">
        <v>0</v>
      </c>
      <c r="F39" s="41">
        <v>36</v>
      </c>
      <c r="G39" s="41">
        <f>720+129.6</f>
        <v>849.6</v>
      </c>
      <c r="H39" s="19">
        <v>45092</v>
      </c>
      <c r="I39" s="19">
        <v>45092</v>
      </c>
      <c r="J39" s="164">
        <f>2+3+2</f>
        <v>7</v>
      </c>
      <c r="K39" s="11">
        <f>+G39/F39*J39</f>
        <v>165.20000000000002</v>
      </c>
      <c r="L39" s="127">
        <f t="shared" si="4"/>
        <v>29</v>
      </c>
      <c r="M39" s="76">
        <f t="shared" si="3"/>
        <v>684.4</v>
      </c>
      <c r="N39" s="108">
        <v>175.77187500000002</v>
      </c>
      <c r="O39" s="54"/>
      <c r="P39" s="133">
        <v>180.294375</v>
      </c>
      <c r="Q39" s="58"/>
      <c r="R39" s="58"/>
      <c r="S39" s="58"/>
    </row>
    <row r="40" spans="1:19" s="18" customFormat="1" ht="21.9" customHeight="1" x14ac:dyDescent="0.3">
      <c r="A40" s="38"/>
      <c r="B40" s="39" t="s">
        <v>398</v>
      </c>
      <c r="C40" s="8" t="s">
        <v>26</v>
      </c>
      <c r="D40" s="40"/>
      <c r="E40" s="41"/>
      <c r="F40" s="41">
        <v>12</v>
      </c>
      <c r="G40" s="41">
        <f>804+144.72</f>
        <v>948.72</v>
      </c>
      <c r="H40" s="19" t="s">
        <v>399</v>
      </c>
      <c r="I40" s="19" t="s">
        <v>399</v>
      </c>
      <c r="J40" s="164">
        <v>1</v>
      </c>
      <c r="K40" s="11">
        <f>+G40/F40*J40</f>
        <v>79.06</v>
      </c>
      <c r="L40" s="127">
        <f t="shared" si="4"/>
        <v>11</v>
      </c>
      <c r="M40" s="76">
        <f t="shared" si="3"/>
        <v>869.66000000000008</v>
      </c>
      <c r="N40" s="108"/>
      <c r="O40" s="54"/>
      <c r="P40" s="133"/>
      <c r="Q40" s="58"/>
      <c r="R40" s="58"/>
      <c r="S40" s="58"/>
    </row>
    <row r="41" spans="1:19" s="18" customFormat="1" ht="21.9" customHeight="1" x14ac:dyDescent="0.3">
      <c r="A41" s="38" t="s">
        <v>47</v>
      </c>
      <c r="B41" s="42" t="s">
        <v>48</v>
      </c>
      <c r="C41" s="21" t="s">
        <v>26</v>
      </c>
      <c r="D41" s="43">
        <v>3</v>
      </c>
      <c r="E41" s="41">
        <v>587.99333333333334</v>
      </c>
      <c r="F41" s="41">
        <v>0</v>
      </c>
      <c r="G41" s="41">
        <v>0</v>
      </c>
      <c r="H41" s="19">
        <v>45092</v>
      </c>
      <c r="I41" s="19">
        <v>45092</v>
      </c>
      <c r="J41" s="164"/>
      <c r="K41" s="11">
        <f>+E41/D41*J41</f>
        <v>0</v>
      </c>
      <c r="L41" s="127">
        <f t="shared" si="4"/>
        <v>3</v>
      </c>
      <c r="M41" s="76">
        <f t="shared" si="3"/>
        <v>587.99333333333334</v>
      </c>
      <c r="N41" s="108">
        <v>587.99333333333334</v>
      </c>
      <c r="O41" s="86" t="s">
        <v>41</v>
      </c>
      <c r="P41" s="133">
        <v>587.99333333333334</v>
      </c>
      <c r="Q41" s="58"/>
      <c r="R41" s="58"/>
      <c r="S41" s="58"/>
    </row>
    <row r="42" spans="1:19" s="18" customFormat="1" ht="21.9" customHeight="1" x14ac:dyDescent="0.3">
      <c r="A42" s="38" t="s">
        <v>49</v>
      </c>
      <c r="B42" s="42" t="s">
        <v>214</v>
      </c>
      <c r="C42" s="21" t="s">
        <v>26</v>
      </c>
      <c r="D42" s="43">
        <v>0</v>
      </c>
      <c r="E42" s="41">
        <v>0</v>
      </c>
      <c r="F42" s="41">
        <v>0</v>
      </c>
      <c r="G42" s="41">
        <v>0</v>
      </c>
      <c r="H42" s="19">
        <v>45092</v>
      </c>
      <c r="I42" s="19">
        <v>45092</v>
      </c>
      <c r="J42" s="164"/>
      <c r="K42" s="11">
        <v>0</v>
      </c>
      <c r="L42" s="127">
        <f t="shared" si="4"/>
        <v>0</v>
      </c>
      <c r="M42" s="76">
        <f t="shared" si="3"/>
        <v>0</v>
      </c>
      <c r="N42" s="108">
        <v>0</v>
      </c>
      <c r="O42" s="86"/>
      <c r="P42" s="133">
        <v>0</v>
      </c>
      <c r="Q42" s="58"/>
      <c r="R42" s="58"/>
      <c r="S42" s="58"/>
    </row>
    <row r="43" spans="1:19" s="18" customFormat="1" ht="21.9" customHeight="1" x14ac:dyDescent="0.3">
      <c r="A43" s="38" t="s">
        <v>50</v>
      </c>
      <c r="B43" s="39" t="s">
        <v>51</v>
      </c>
      <c r="C43" s="8" t="s">
        <v>26</v>
      </c>
      <c r="D43" s="40">
        <v>0</v>
      </c>
      <c r="E43" s="41">
        <v>0</v>
      </c>
      <c r="F43" s="41">
        <v>0</v>
      </c>
      <c r="G43" s="41">
        <v>0</v>
      </c>
      <c r="H43" s="19">
        <v>45092</v>
      </c>
      <c r="I43" s="19">
        <v>45092</v>
      </c>
      <c r="J43" s="164"/>
      <c r="K43" s="11">
        <v>0</v>
      </c>
      <c r="L43" s="127">
        <f t="shared" si="4"/>
        <v>0</v>
      </c>
      <c r="M43" s="76">
        <f t="shared" si="3"/>
        <v>0</v>
      </c>
      <c r="N43" s="108">
        <v>0</v>
      </c>
      <c r="O43" s="54" t="s">
        <v>41</v>
      </c>
      <c r="P43" s="133">
        <v>0</v>
      </c>
      <c r="Q43" s="58"/>
      <c r="R43" s="58"/>
      <c r="S43" s="58"/>
    </row>
    <row r="44" spans="1:19" s="18" customFormat="1" ht="21.9" customHeight="1" x14ac:dyDescent="0.3">
      <c r="A44" s="38" t="s">
        <v>52</v>
      </c>
      <c r="B44" s="42" t="s">
        <v>53</v>
      </c>
      <c r="C44" s="8" t="s">
        <v>26</v>
      </c>
      <c r="D44" s="43">
        <v>0</v>
      </c>
      <c r="E44" s="41">
        <v>0</v>
      </c>
      <c r="F44" s="41">
        <v>0</v>
      </c>
      <c r="G44" s="41">
        <v>0</v>
      </c>
      <c r="H44" s="19">
        <v>45092</v>
      </c>
      <c r="I44" s="19">
        <v>45092</v>
      </c>
      <c r="J44" s="164"/>
      <c r="K44" s="11">
        <v>0</v>
      </c>
      <c r="L44" s="127">
        <f t="shared" si="4"/>
        <v>0</v>
      </c>
      <c r="M44" s="76">
        <f t="shared" si="3"/>
        <v>0</v>
      </c>
      <c r="N44" s="108">
        <v>0</v>
      </c>
      <c r="O44" s="54" t="s">
        <v>41</v>
      </c>
      <c r="P44" s="133">
        <v>0</v>
      </c>
      <c r="Q44" s="58"/>
      <c r="R44" s="58"/>
      <c r="S44" s="58"/>
    </row>
    <row r="45" spans="1:19" s="18" customFormat="1" ht="21.9" customHeight="1" x14ac:dyDescent="0.3">
      <c r="A45" s="38" t="s">
        <v>54</v>
      </c>
      <c r="B45" s="42" t="s">
        <v>55</v>
      </c>
      <c r="C45" s="8" t="s">
        <v>26</v>
      </c>
      <c r="D45" s="43">
        <v>6</v>
      </c>
      <c r="E45" s="41">
        <v>568.2807473389355</v>
      </c>
      <c r="F45" s="41">
        <v>0</v>
      </c>
      <c r="G45" s="41">
        <v>0</v>
      </c>
      <c r="H45" s="19">
        <v>45092</v>
      </c>
      <c r="I45" s="19">
        <v>45092</v>
      </c>
      <c r="J45" s="164"/>
      <c r="K45" s="11">
        <f>+E45/D45*J45</f>
        <v>0</v>
      </c>
      <c r="L45" s="127">
        <f t="shared" si="4"/>
        <v>6</v>
      </c>
      <c r="M45" s="76">
        <f t="shared" si="3"/>
        <v>568.2807473389355</v>
      </c>
      <c r="N45" s="108">
        <v>662.99420522875812</v>
      </c>
      <c r="O45" s="54"/>
      <c r="P45" s="133">
        <v>568.2807473389355</v>
      </c>
      <c r="Q45" s="58"/>
      <c r="R45" s="58"/>
      <c r="S45" s="58"/>
    </row>
    <row r="46" spans="1:19" s="18" customFormat="1" ht="21.9" customHeight="1" x14ac:dyDescent="0.3">
      <c r="A46" s="38" t="s">
        <v>281</v>
      </c>
      <c r="B46" s="39" t="s">
        <v>324</v>
      </c>
      <c r="C46" s="8" t="s">
        <v>26</v>
      </c>
      <c r="D46" s="40">
        <v>1</v>
      </c>
      <c r="E46" s="41">
        <v>77.998333333333335</v>
      </c>
      <c r="F46" s="41">
        <v>0</v>
      </c>
      <c r="G46" s="41">
        <v>0</v>
      </c>
      <c r="H46" s="19">
        <v>45092</v>
      </c>
      <c r="I46" s="19">
        <v>45092</v>
      </c>
      <c r="J46" s="164"/>
      <c r="K46" s="11">
        <f>+E46/D46*J46</f>
        <v>0</v>
      </c>
      <c r="L46" s="127">
        <f t="shared" si="4"/>
        <v>1</v>
      </c>
      <c r="M46" s="76">
        <f t="shared" si="3"/>
        <v>77.998333333333335</v>
      </c>
      <c r="N46" s="108">
        <v>77.998333333333335</v>
      </c>
      <c r="O46" s="86" t="s">
        <v>41</v>
      </c>
      <c r="P46" s="133">
        <v>77.998333333333335</v>
      </c>
      <c r="Q46" s="58"/>
      <c r="R46" s="58"/>
      <c r="S46" s="58"/>
    </row>
    <row r="47" spans="1:19" s="18" customFormat="1" ht="21.9" customHeight="1" x14ac:dyDescent="0.3">
      <c r="A47" s="38" t="s">
        <v>57</v>
      </c>
      <c r="B47" s="39" t="s">
        <v>58</v>
      </c>
      <c r="C47" s="8" t="s">
        <v>26</v>
      </c>
      <c r="D47" s="40">
        <v>10</v>
      </c>
      <c r="E47" s="41">
        <v>380.16250000000002</v>
      </c>
      <c r="F47" s="41">
        <v>0</v>
      </c>
      <c r="G47" s="41">
        <v>0</v>
      </c>
      <c r="H47" s="19">
        <v>45092</v>
      </c>
      <c r="I47" s="19">
        <v>45092</v>
      </c>
      <c r="J47" s="164">
        <f>1+1</f>
        <v>2</v>
      </c>
      <c r="K47" s="11">
        <f>+E47/D47*J47</f>
        <v>76.032499999999999</v>
      </c>
      <c r="L47" s="127">
        <f t="shared" si="4"/>
        <v>8</v>
      </c>
      <c r="M47" s="76">
        <f t="shared" si="3"/>
        <v>304.13</v>
      </c>
      <c r="N47" s="108">
        <v>0</v>
      </c>
      <c r="O47" s="86" t="s">
        <v>41</v>
      </c>
      <c r="P47" s="133">
        <v>608.26</v>
      </c>
      <c r="Q47" s="58"/>
      <c r="R47" s="58"/>
      <c r="S47" s="58"/>
    </row>
    <row r="48" spans="1:19" s="18" customFormat="1" ht="21.9" customHeight="1" x14ac:dyDescent="0.3">
      <c r="A48" s="38" t="s">
        <v>59</v>
      </c>
      <c r="B48" s="42" t="s">
        <v>60</v>
      </c>
      <c r="C48" s="21" t="s">
        <v>35</v>
      </c>
      <c r="D48" s="43">
        <v>0</v>
      </c>
      <c r="E48" s="41">
        <v>0</v>
      </c>
      <c r="F48" s="41">
        <v>36</v>
      </c>
      <c r="G48" s="41">
        <f>4860+874.8</f>
        <v>5734.8</v>
      </c>
      <c r="H48" s="19">
        <v>45825</v>
      </c>
      <c r="I48" s="19">
        <v>45825</v>
      </c>
      <c r="J48" s="164">
        <f>1+3+2</f>
        <v>6</v>
      </c>
      <c r="K48" s="11">
        <f>+G48/F48*J48</f>
        <v>955.80000000000007</v>
      </c>
      <c r="L48" s="127">
        <f t="shared" si="4"/>
        <v>30</v>
      </c>
      <c r="M48" s="76">
        <f t="shared" si="3"/>
        <v>4779</v>
      </c>
      <c r="N48" s="108">
        <v>2373.6219230769229</v>
      </c>
      <c r="O48" s="86" t="s">
        <v>41</v>
      </c>
      <c r="P48" s="133">
        <v>673.66990384615394</v>
      </c>
      <c r="Q48" s="58"/>
      <c r="R48" s="58"/>
      <c r="S48" s="58"/>
    </row>
    <row r="49" spans="1:19" s="18" customFormat="1" ht="21.9" customHeight="1" x14ac:dyDescent="0.3">
      <c r="A49" s="38" t="s">
        <v>61</v>
      </c>
      <c r="B49" s="39" t="s">
        <v>62</v>
      </c>
      <c r="C49" s="8" t="s">
        <v>26</v>
      </c>
      <c r="D49" s="40">
        <v>9</v>
      </c>
      <c r="E49" s="41">
        <v>1714.1485520361991</v>
      </c>
      <c r="F49" s="41">
        <v>24</v>
      </c>
      <c r="G49" s="41">
        <f>2352+423.36</f>
        <v>2775.36</v>
      </c>
      <c r="H49" s="19">
        <v>45825</v>
      </c>
      <c r="I49" s="19">
        <v>45825</v>
      </c>
      <c r="J49" s="164">
        <f>3+1</f>
        <v>4</v>
      </c>
      <c r="K49" s="11">
        <f>+E49/D49*J49</f>
        <v>761.84380090497734</v>
      </c>
      <c r="L49" s="127">
        <f t="shared" si="4"/>
        <v>29</v>
      </c>
      <c r="M49" s="76">
        <v>3787.52</v>
      </c>
      <c r="N49" s="108">
        <v>1977.5470588235294</v>
      </c>
      <c r="O49" s="86" t="s">
        <v>41</v>
      </c>
      <c r="P49" s="133">
        <v>2285.531402714932</v>
      </c>
      <c r="Q49" s="58"/>
      <c r="R49" s="58"/>
      <c r="S49" s="58"/>
    </row>
    <row r="50" spans="1:19" s="44" customFormat="1" ht="21.9" customHeight="1" x14ac:dyDescent="0.3">
      <c r="A50" s="38" t="s">
        <v>63</v>
      </c>
      <c r="B50" s="39" t="s">
        <v>64</v>
      </c>
      <c r="C50" s="8" t="s">
        <v>26</v>
      </c>
      <c r="D50" s="40">
        <v>0</v>
      </c>
      <c r="E50" s="41">
        <v>0</v>
      </c>
      <c r="F50" s="41">
        <v>0</v>
      </c>
      <c r="G50" s="41">
        <v>0</v>
      </c>
      <c r="H50" s="19">
        <v>45092</v>
      </c>
      <c r="I50" s="19">
        <v>45092</v>
      </c>
      <c r="J50" s="164"/>
      <c r="K50" s="11">
        <v>0</v>
      </c>
      <c r="L50" s="127">
        <f t="shared" si="4"/>
        <v>0</v>
      </c>
      <c r="M50" s="76">
        <f t="shared" si="3"/>
        <v>0</v>
      </c>
      <c r="N50" s="108">
        <v>0</v>
      </c>
      <c r="O50" s="86" t="s">
        <v>41</v>
      </c>
      <c r="P50" s="134">
        <v>0</v>
      </c>
      <c r="Q50" s="160"/>
      <c r="R50" s="160"/>
      <c r="S50" s="160"/>
    </row>
    <row r="51" spans="1:19" s="45" customFormat="1" ht="21.75" customHeight="1" x14ac:dyDescent="0.3">
      <c r="A51" s="38" t="s">
        <v>65</v>
      </c>
      <c r="B51" s="42" t="s">
        <v>66</v>
      </c>
      <c r="C51" s="21" t="s">
        <v>35</v>
      </c>
      <c r="D51" s="43">
        <v>1</v>
      </c>
      <c r="E51" s="41">
        <v>928.89599999999996</v>
      </c>
      <c r="F51" s="41">
        <v>8</v>
      </c>
      <c r="G51" s="41">
        <f>3520+633.6</f>
        <v>4153.6000000000004</v>
      </c>
      <c r="H51" s="19">
        <v>45825</v>
      </c>
      <c r="I51" s="19">
        <v>45825</v>
      </c>
      <c r="J51" s="164">
        <v>1</v>
      </c>
      <c r="K51" s="11">
        <f>+E51/D51*J51</f>
        <v>928.89599999999996</v>
      </c>
      <c r="L51" s="127">
        <f t="shared" si="4"/>
        <v>8</v>
      </c>
      <c r="M51" s="76">
        <f t="shared" si="3"/>
        <v>4153.6000000000004</v>
      </c>
      <c r="N51" s="108">
        <v>0</v>
      </c>
      <c r="O51" s="87"/>
      <c r="P51" s="135">
        <v>2786.6880000000001</v>
      </c>
      <c r="Q51" s="161"/>
      <c r="R51" s="161"/>
      <c r="S51" s="161"/>
    </row>
    <row r="52" spans="1:19" s="46" customFormat="1" ht="21.9" customHeight="1" x14ac:dyDescent="0.3">
      <c r="A52" s="38" t="s">
        <v>67</v>
      </c>
      <c r="B52" s="42" t="s">
        <v>68</v>
      </c>
      <c r="C52" s="21" t="s">
        <v>35</v>
      </c>
      <c r="D52" s="43">
        <v>0</v>
      </c>
      <c r="E52" s="41">
        <v>0</v>
      </c>
      <c r="F52" s="41">
        <v>0</v>
      </c>
      <c r="G52" s="41">
        <v>0</v>
      </c>
      <c r="H52" s="19">
        <v>45092</v>
      </c>
      <c r="I52" s="19">
        <v>45092</v>
      </c>
      <c r="J52" s="164"/>
      <c r="K52" s="11">
        <v>0</v>
      </c>
      <c r="L52" s="127">
        <f t="shared" si="4"/>
        <v>0</v>
      </c>
      <c r="M52" s="76">
        <f t="shared" si="3"/>
        <v>0</v>
      </c>
      <c r="N52" s="108">
        <v>0</v>
      </c>
      <c r="O52" s="56" t="s">
        <v>41</v>
      </c>
      <c r="P52" s="136">
        <v>0</v>
      </c>
      <c r="Q52" s="162"/>
      <c r="R52" s="162"/>
      <c r="S52" s="162"/>
    </row>
    <row r="53" spans="1:19" s="46" customFormat="1" ht="21.9" customHeight="1" x14ac:dyDescent="0.3">
      <c r="A53" s="38" t="s">
        <v>69</v>
      </c>
      <c r="B53" s="42" t="s">
        <v>371</v>
      </c>
      <c r="C53" s="21" t="s">
        <v>35</v>
      </c>
      <c r="D53" s="43">
        <v>1</v>
      </c>
      <c r="E53" s="41">
        <v>295</v>
      </c>
      <c r="F53" s="41">
        <v>0</v>
      </c>
      <c r="G53" s="41">
        <v>0</v>
      </c>
      <c r="H53" s="19">
        <v>45611</v>
      </c>
      <c r="I53" s="19">
        <v>45611</v>
      </c>
      <c r="J53" s="164"/>
      <c r="K53" s="11">
        <f t="shared" ref="K53:K59" si="5">+E53/D53*J53</f>
        <v>0</v>
      </c>
      <c r="L53" s="127">
        <f t="shared" si="4"/>
        <v>1</v>
      </c>
      <c r="M53" s="76">
        <f t="shared" si="3"/>
        <v>295</v>
      </c>
      <c r="N53" s="108"/>
      <c r="O53" s="56"/>
      <c r="P53" s="133">
        <v>295</v>
      </c>
      <c r="Q53" s="162"/>
      <c r="R53" s="162"/>
      <c r="S53" s="162"/>
    </row>
    <row r="54" spans="1:19" s="18" customFormat="1" ht="21.9" customHeight="1" x14ac:dyDescent="0.3">
      <c r="A54" s="38" t="s">
        <v>71</v>
      </c>
      <c r="B54" s="42" t="s">
        <v>70</v>
      </c>
      <c r="C54" s="21" t="s">
        <v>35</v>
      </c>
      <c r="D54" s="43">
        <v>18</v>
      </c>
      <c r="E54" s="41">
        <v>4268.2201442307705</v>
      </c>
      <c r="F54" s="41">
        <v>0</v>
      </c>
      <c r="G54" s="41">
        <v>0</v>
      </c>
      <c r="H54" s="19">
        <v>45092</v>
      </c>
      <c r="I54" s="19">
        <v>45092</v>
      </c>
      <c r="J54" s="164">
        <f>3+1+2</f>
        <v>6</v>
      </c>
      <c r="K54" s="11">
        <f t="shared" si="5"/>
        <v>1422.7400480769236</v>
      </c>
      <c r="L54" s="127">
        <f>+D54+F54-J54</f>
        <v>12</v>
      </c>
      <c r="M54" s="76">
        <f t="shared" si="3"/>
        <v>2845.4800961538467</v>
      </c>
      <c r="N54" s="108">
        <v>7659.3600000000006</v>
      </c>
      <c r="O54" s="54"/>
      <c r="P54" s="133">
        <v>6402.3302163461549</v>
      </c>
      <c r="Q54" s="58"/>
      <c r="R54" s="58"/>
      <c r="S54" s="58"/>
    </row>
    <row r="55" spans="1:19" s="18" customFormat="1" ht="21.9" customHeight="1" x14ac:dyDescent="0.3">
      <c r="A55" s="38" t="s">
        <v>73</v>
      </c>
      <c r="B55" s="42" t="s">
        <v>368</v>
      </c>
      <c r="C55" s="21" t="s">
        <v>35</v>
      </c>
      <c r="D55" s="43">
        <v>10</v>
      </c>
      <c r="E55" s="41">
        <v>5225.0333333333338</v>
      </c>
      <c r="F55" s="41">
        <v>0</v>
      </c>
      <c r="G55" s="41"/>
      <c r="H55" s="19">
        <v>45611</v>
      </c>
      <c r="I55" s="19">
        <v>45611</v>
      </c>
      <c r="J55" s="164">
        <v>1</v>
      </c>
      <c r="K55" s="11">
        <f t="shared" si="5"/>
        <v>522.50333333333333</v>
      </c>
      <c r="L55" s="127">
        <f t="shared" si="4"/>
        <v>9</v>
      </c>
      <c r="M55" s="76">
        <f t="shared" si="3"/>
        <v>4702.5300000000007</v>
      </c>
      <c r="N55" s="108"/>
      <c r="O55" s="54"/>
      <c r="P55" s="133">
        <v>5225.0333333333338</v>
      </c>
      <c r="Q55" s="58"/>
      <c r="R55" s="58"/>
      <c r="S55" s="58"/>
    </row>
    <row r="56" spans="1:19" s="18" customFormat="1" ht="21.9" customHeight="1" x14ac:dyDescent="0.3">
      <c r="A56" s="38" t="s">
        <v>75</v>
      </c>
      <c r="B56" s="42" t="s">
        <v>325</v>
      </c>
      <c r="C56" s="21" t="s">
        <v>35</v>
      </c>
      <c r="D56" s="43">
        <v>2</v>
      </c>
      <c r="E56" s="41">
        <v>1574.4074999999998</v>
      </c>
      <c r="F56" s="41">
        <v>0</v>
      </c>
      <c r="G56" s="41">
        <v>0</v>
      </c>
      <c r="H56" s="19">
        <v>45093</v>
      </c>
      <c r="I56" s="19">
        <v>45093</v>
      </c>
      <c r="J56" s="164"/>
      <c r="K56" s="11">
        <f t="shared" si="5"/>
        <v>0</v>
      </c>
      <c r="L56" s="127">
        <f t="shared" si="4"/>
        <v>2</v>
      </c>
      <c r="M56" s="76">
        <f t="shared" si="3"/>
        <v>1574.4074999999998</v>
      </c>
      <c r="N56" s="108">
        <v>3955.08</v>
      </c>
      <c r="O56" s="54"/>
      <c r="P56" s="133">
        <v>1574.4074999999998</v>
      </c>
      <c r="Q56" s="58"/>
      <c r="R56" s="58"/>
      <c r="S56" s="58"/>
    </row>
    <row r="57" spans="1:19" s="45" customFormat="1" ht="21.9" customHeight="1" x14ac:dyDescent="0.3">
      <c r="A57" s="38" t="s">
        <v>77</v>
      </c>
      <c r="B57" s="42" t="s">
        <v>72</v>
      </c>
      <c r="C57" s="21" t="s">
        <v>35</v>
      </c>
      <c r="D57" s="47">
        <v>2</v>
      </c>
      <c r="E57" s="41">
        <v>772.36107272727259</v>
      </c>
      <c r="F57" s="41">
        <v>0</v>
      </c>
      <c r="G57" s="41">
        <v>0</v>
      </c>
      <c r="H57" s="19">
        <v>45092</v>
      </c>
      <c r="I57" s="19">
        <v>45092</v>
      </c>
      <c r="J57" s="164">
        <v>1</v>
      </c>
      <c r="K57" s="11">
        <f t="shared" si="5"/>
        <v>386.18053636363629</v>
      </c>
      <c r="L57" s="127">
        <f t="shared" si="4"/>
        <v>1</v>
      </c>
      <c r="M57" s="76">
        <f t="shared" si="3"/>
        <v>386.18053636363629</v>
      </c>
      <c r="N57" s="108">
        <v>772.36107272727259</v>
      </c>
      <c r="O57" s="87" t="s">
        <v>41</v>
      </c>
      <c r="P57" s="135">
        <v>772.36107272727259</v>
      </c>
      <c r="Q57" s="161"/>
      <c r="R57" s="161"/>
      <c r="S57" s="161"/>
    </row>
    <row r="58" spans="1:19" s="18" customFormat="1" ht="21.9" customHeight="1" x14ac:dyDescent="0.3">
      <c r="A58" s="38" t="s">
        <v>78</v>
      </c>
      <c r="B58" s="42" t="s">
        <v>74</v>
      </c>
      <c r="C58" s="21" t="s">
        <v>35</v>
      </c>
      <c r="D58" s="47">
        <v>25</v>
      </c>
      <c r="E58" s="41">
        <v>3027.3679300291551</v>
      </c>
      <c r="F58" s="41">
        <v>0</v>
      </c>
      <c r="G58" s="41">
        <v>0</v>
      </c>
      <c r="H58" s="19">
        <v>45092</v>
      </c>
      <c r="I58" s="19">
        <v>45092</v>
      </c>
      <c r="J58" s="164">
        <f>1+3+2</f>
        <v>6</v>
      </c>
      <c r="K58" s="11">
        <f t="shared" si="5"/>
        <v>726.56830320699726</v>
      </c>
      <c r="L58" s="127">
        <f t="shared" si="4"/>
        <v>19</v>
      </c>
      <c r="M58" s="76">
        <f t="shared" si="3"/>
        <v>2300.7996268221577</v>
      </c>
      <c r="N58" s="108">
        <v>4266.5642857142866</v>
      </c>
      <c r="O58" s="86"/>
      <c r="P58" s="133">
        <v>3632.8415160349859</v>
      </c>
      <c r="Q58" s="58"/>
      <c r="R58" s="58"/>
      <c r="S58" s="58"/>
    </row>
    <row r="59" spans="1:19" s="18" customFormat="1" ht="21.9" customHeight="1" x14ac:dyDescent="0.3">
      <c r="A59" s="38" t="s">
        <v>80</v>
      </c>
      <c r="B59" s="42" t="s">
        <v>76</v>
      </c>
      <c r="C59" s="21" t="s">
        <v>35</v>
      </c>
      <c r="D59" s="43">
        <v>2</v>
      </c>
      <c r="E59" s="41">
        <v>1261</v>
      </c>
      <c r="F59" s="41">
        <v>0</v>
      </c>
      <c r="G59" s="41">
        <v>0</v>
      </c>
      <c r="H59" s="19">
        <v>45092</v>
      </c>
      <c r="I59" s="19">
        <v>45092</v>
      </c>
      <c r="J59" s="164"/>
      <c r="K59" s="11">
        <f t="shared" si="5"/>
        <v>0</v>
      </c>
      <c r="L59" s="127">
        <f t="shared" si="4"/>
        <v>2</v>
      </c>
      <c r="M59" s="76">
        <f t="shared" si="3"/>
        <v>1261</v>
      </c>
      <c r="N59" s="108">
        <v>1261</v>
      </c>
      <c r="O59" s="86" t="s">
        <v>41</v>
      </c>
      <c r="P59" s="133">
        <v>1261</v>
      </c>
      <c r="Q59" s="58"/>
      <c r="R59" s="58"/>
      <c r="S59" s="58"/>
    </row>
    <row r="60" spans="1:19" s="45" customFormat="1" ht="21.9" customHeight="1" x14ac:dyDescent="0.3">
      <c r="A60" s="175" t="s">
        <v>82</v>
      </c>
      <c r="B60" s="42" t="s">
        <v>231</v>
      </c>
      <c r="C60" s="21" t="s">
        <v>26</v>
      </c>
      <c r="D60" s="164">
        <v>0</v>
      </c>
      <c r="E60" s="164">
        <v>0</v>
      </c>
      <c r="F60" s="164">
        <v>3</v>
      </c>
      <c r="G60" s="164">
        <f>5250+945</f>
        <v>6195</v>
      </c>
      <c r="H60" s="19">
        <v>45092</v>
      </c>
      <c r="I60" s="19">
        <v>45092</v>
      </c>
      <c r="J60" s="164"/>
      <c r="K60" s="11">
        <v>0</v>
      </c>
      <c r="L60" s="127">
        <f t="shared" si="4"/>
        <v>3</v>
      </c>
      <c r="M60" s="76">
        <f t="shared" si="3"/>
        <v>6195</v>
      </c>
      <c r="N60" s="108">
        <v>1164</v>
      </c>
      <c r="O60" s="87"/>
      <c r="P60" s="135">
        <v>0</v>
      </c>
      <c r="Q60" s="161"/>
      <c r="R60" s="161"/>
      <c r="S60" s="161"/>
    </row>
    <row r="61" spans="1:19" s="18" customFormat="1" ht="21.75" customHeight="1" x14ac:dyDescent="0.3">
      <c r="A61" s="38" t="s">
        <v>84</v>
      </c>
      <c r="B61" s="42" t="s">
        <v>79</v>
      </c>
      <c r="C61" s="21" t="s">
        <v>26</v>
      </c>
      <c r="D61" s="43">
        <v>2</v>
      </c>
      <c r="E61" s="41">
        <v>1499.99</v>
      </c>
      <c r="F61" s="41">
        <v>0</v>
      </c>
      <c r="G61" s="41">
        <v>0</v>
      </c>
      <c r="H61" s="19">
        <v>45092</v>
      </c>
      <c r="I61" s="19">
        <v>45092</v>
      </c>
      <c r="J61" s="164"/>
      <c r="K61" s="11">
        <f>+E61/D61*J61</f>
        <v>0</v>
      </c>
      <c r="L61" s="127">
        <f t="shared" si="4"/>
        <v>2</v>
      </c>
      <c r="M61" s="76">
        <f t="shared" si="3"/>
        <v>1499.99</v>
      </c>
      <c r="N61" s="108">
        <v>1499.99</v>
      </c>
      <c r="O61" s="54" t="s">
        <v>41</v>
      </c>
      <c r="P61" s="133">
        <v>1499.99</v>
      </c>
      <c r="Q61" s="58"/>
      <c r="R61" s="58"/>
      <c r="S61" s="58"/>
    </row>
    <row r="62" spans="1:19" s="18" customFormat="1" ht="21.75" customHeight="1" x14ac:dyDescent="0.3">
      <c r="A62" s="38" t="s">
        <v>85</v>
      </c>
      <c r="B62" s="42" t="s">
        <v>81</v>
      </c>
      <c r="C62" s="21" t="s">
        <v>26</v>
      </c>
      <c r="D62" s="43">
        <v>2</v>
      </c>
      <c r="E62" s="41">
        <v>329.995</v>
      </c>
      <c r="F62" s="41">
        <v>0</v>
      </c>
      <c r="G62" s="41">
        <v>0</v>
      </c>
      <c r="H62" s="19">
        <v>45092</v>
      </c>
      <c r="I62" s="19">
        <v>45092</v>
      </c>
      <c r="J62" s="164"/>
      <c r="K62" s="11">
        <f>+E62/D62*J62</f>
        <v>0</v>
      </c>
      <c r="L62" s="127">
        <f t="shared" si="4"/>
        <v>2</v>
      </c>
      <c r="M62" s="76">
        <f t="shared" si="3"/>
        <v>329.995</v>
      </c>
      <c r="N62" s="108">
        <v>329.995</v>
      </c>
      <c r="O62" s="54" t="s">
        <v>41</v>
      </c>
      <c r="P62" s="133">
        <v>329.995</v>
      </c>
      <c r="Q62" s="58"/>
      <c r="R62" s="58"/>
      <c r="S62" s="58"/>
    </row>
    <row r="63" spans="1:19" s="18" customFormat="1" ht="21.9" customHeight="1" x14ac:dyDescent="0.3">
      <c r="A63" s="38" t="s">
        <v>87</v>
      </c>
      <c r="B63" s="42" t="s">
        <v>83</v>
      </c>
      <c r="C63" s="21" t="s">
        <v>26</v>
      </c>
      <c r="D63" s="43">
        <v>0</v>
      </c>
      <c r="E63" s="41">
        <v>0</v>
      </c>
      <c r="F63" s="41">
        <v>0</v>
      </c>
      <c r="G63" s="41">
        <v>0</v>
      </c>
      <c r="H63" s="19">
        <v>45092</v>
      </c>
      <c r="I63" s="19">
        <v>45092</v>
      </c>
      <c r="J63" s="164"/>
      <c r="K63" s="11">
        <v>0</v>
      </c>
      <c r="L63" s="127">
        <f t="shared" si="4"/>
        <v>0</v>
      </c>
      <c r="M63" s="76">
        <f t="shared" si="3"/>
        <v>0</v>
      </c>
      <c r="N63" s="108">
        <v>0</v>
      </c>
      <c r="O63" s="54" t="s">
        <v>41</v>
      </c>
      <c r="P63" s="133">
        <v>0</v>
      </c>
      <c r="Q63" s="58"/>
      <c r="R63" s="58"/>
      <c r="S63" s="58"/>
    </row>
    <row r="64" spans="1:19" s="18" customFormat="1" ht="21.9" customHeight="1" x14ac:dyDescent="0.3">
      <c r="A64" s="38" t="s">
        <v>90</v>
      </c>
      <c r="B64" s="39" t="s">
        <v>280</v>
      </c>
      <c r="C64" s="8" t="s">
        <v>319</v>
      </c>
      <c r="D64" s="43">
        <v>0</v>
      </c>
      <c r="E64" s="41">
        <v>0</v>
      </c>
      <c r="F64" s="41">
        <v>48</v>
      </c>
      <c r="G64" s="41">
        <f>28320+5097.6</f>
        <v>33417.599999999999</v>
      </c>
      <c r="H64" s="19">
        <v>45092</v>
      </c>
      <c r="I64" s="19">
        <v>45092</v>
      </c>
      <c r="J64" s="164">
        <f>4+2+2</f>
        <v>8</v>
      </c>
      <c r="K64" s="11">
        <f>+G64/F64*J64</f>
        <v>5569.5999999999995</v>
      </c>
      <c r="L64" s="127">
        <f t="shared" si="4"/>
        <v>40</v>
      </c>
      <c r="M64" s="76">
        <f>+E64+G64-K64</f>
        <v>27848</v>
      </c>
      <c r="N64" s="108">
        <v>0</v>
      </c>
      <c r="O64" s="86" t="s">
        <v>41</v>
      </c>
      <c r="P64" s="133">
        <v>2873.3</v>
      </c>
      <c r="Q64" s="58"/>
      <c r="R64" s="58"/>
      <c r="S64" s="58"/>
    </row>
    <row r="65" spans="1:19" s="18" customFormat="1" ht="21.9" customHeight="1" x14ac:dyDescent="0.3">
      <c r="A65" s="38" t="s">
        <v>91</v>
      </c>
      <c r="B65" s="39" t="s">
        <v>86</v>
      </c>
      <c r="C65" s="8" t="s">
        <v>26</v>
      </c>
      <c r="D65" s="40">
        <v>0</v>
      </c>
      <c r="E65" s="41"/>
      <c r="F65" s="41">
        <f>48+24+24</f>
        <v>96</v>
      </c>
      <c r="G65" s="11">
        <f>+K64/F65*F65</f>
        <v>5569.5999999999995</v>
      </c>
      <c r="H65" s="51">
        <v>45092</v>
      </c>
      <c r="I65" s="51">
        <v>45092</v>
      </c>
      <c r="J65" s="164">
        <f>37+26+32</f>
        <v>95</v>
      </c>
      <c r="K65" s="11">
        <f>+G65/F65*J65</f>
        <v>5511.5833333333321</v>
      </c>
      <c r="L65" s="127">
        <f t="shared" si="4"/>
        <v>1</v>
      </c>
      <c r="M65" s="76">
        <f>+E65+G65-K65</f>
        <v>58.016666666667334</v>
      </c>
      <c r="N65" s="108">
        <v>655.3666666666627</v>
      </c>
      <c r="O65" s="86" t="s">
        <v>41</v>
      </c>
      <c r="P65" s="133">
        <v>239.44166666666729</v>
      </c>
      <c r="Q65" s="58"/>
      <c r="R65" s="58"/>
      <c r="S65" s="58"/>
    </row>
    <row r="66" spans="1:19" s="18" customFormat="1" ht="21.9" customHeight="1" x14ac:dyDescent="0.3">
      <c r="A66" s="38" t="s">
        <v>92</v>
      </c>
      <c r="B66" s="39" t="s">
        <v>88</v>
      </c>
      <c r="C66" s="8" t="s">
        <v>319</v>
      </c>
      <c r="D66" s="40">
        <v>14</v>
      </c>
      <c r="E66" s="41">
        <v>14206.513125000001</v>
      </c>
      <c r="F66" s="41">
        <v>0</v>
      </c>
      <c r="G66" s="41">
        <v>0</v>
      </c>
      <c r="H66" s="19">
        <v>45092</v>
      </c>
      <c r="I66" s="19">
        <v>45092</v>
      </c>
      <c r="J66" s="164">
        <f>3+3+4</f>
        <v>10</v>
      </c>
      <c r="K66" s="11">
        <f>+E66/D66*J66</f>
        <v>10147.509375000001</v>
      </c>
      <c r="L66" s="127">
        <f t="shared" si="4"/>
        <v>4</v>
      </c>
      <c r="M66" s="76">
        <f t="shared" si="3"/>
        <v>4059.0037499999999</v>
      </c>
      <c r="N66" s="108">
        <v>18720.05</v>
      </c>
      <c r="O66" s="86" t="s">
        <v>41</v>
      </c>
      <c r="P66" s="133">
        <v>24354.022500000003</v>
      </c>
      <c r="Q66" s="58"/>
      <c r="R66" s="58"/>
      <c r="S66" s="58"/>
    </row>
    <row r="67" spans="1:19" s="18" customFormat="1" ht="21.9" customHeight="1" x14ac:dyDescent="0.3">
      <c r="A67" s="38" t="s">
        <v>93</v>
      </c>
      <c r="B67" s="42" t="s">
        <v>89</v>
      </c>
      <c r="C67" s="21" t="s">
        <v>26</v>
      </c>
      <c r="D67" s="43">
        <v>3</v>
      </c>
      <c r="E67" s="41">
        <v>507.37468750000153</v>
      </c>
      <c r="F67" s="41">
        <f>18+18+24</f>
        <v>60</v>
      </c>
      <c r="G67" s="41">
        <f>+K66/F67*F67</f>
        <v>10147.509375000001</v>
      </c>
      <c r="H67" s="19">
        <v>45092</v>
      </c>
      <c r="I67" s="19">
        <v>45092</v>
      </c>
      <c r="J67" s="164">
        <f>20+17+24</f>
        <v>61</v>
      </c>
      <c r="K67" s="11">
        <f>+E67/D67*J67</f>
        <v>10316.618645833365</v>
      </c>
      <c r="L67" s="127">
        <f>+D67+F67-J67</f>
        <v>2</v>
      </c>
      <c r="M67" s="76">
        <v>339.03</v>
      </c>
      <c r="N67" s="108">
        <v>0</v>
      </c>
      <c r="O67" s="86" t="s">
        <v>41</v>
      </c>
      <c r="P67" s="133">
        <v>0</v>
      </c>
      <c r="Q67" s="58"/>
      <c r="R67" s="58"/>
      <c r="S67" s="58"/>
    </row>
    <row r="68" spans="1:19" s="44" customFormat="1" ht="21.9" customHeight="1" x14ac:dyDescent="0.3">
      <c r="A68" s="38" t="s">
        <v>95</v>
      </c>
      <c r="B68" s="39" t="s">
        <v>283</v>
      </c>
      <c r="C68" s="8" t="s">
        <v>43</v>
      </c>
      <c r="D68" s="40">
        <v>0</v>
      </c>
      <c r="E68" s="41">
        <v>0</v>
      </c>
      <c r="F68" s="41"/>
      <c r="G68" s="41"/>
      <c r="H68" s="51">
        <v>45092</v>
      </c>
      <c r="I68" s="51">
        <v>45092</v>
      </c>
      <c r="J68" s="164"/>
      <c r="K68" s="11">
        <v>0</v>
      </c>
      <c r="L68" s="127">
        <f t="shared" si="4"/>
        <v>0</v>
      </c>
      <c r="M68" s="76">
        <f t="shared" si="3"/>
        <v>0</v>
      </c>
      <c r="N68" s="108">
        <v>0</v>
      </c>
      <c r="O68" s="86" t="s">
        <v>41</v>
      </c>
      <c r="P68" s="134">
        <v>1202.1849999999999</v>
      </c>
      <c r="Q68" s="160"/>
      <c r="R68" s="160"/>
      <c r="S68" s="160"/>
    </row>
    <row r="69" spans="1:19" s="44" customFormat="1" ht="21.9" customHeight="1" x14ac:dyDescent="0.3">
      <c r="A69" s="38" t="s">
        <v>97</v>
      </c>
      <c r="B69" s="39" t="s">
        <v>282</v>
      </c>
      <c r="C69" s="21" t="s">
        <v>26</v>
      </c>
      <c r="D69" s="43">
        <v>0</v>
      </c>
      <c r="E69" s="41">
        <v>0</v>
      </c>
      <c r="F69" s="41">
        <v>6</v>
      </c>
      <c r="G69" s="41">
        <f>1140+205.2</f>
        <v>1345.2</v>
      </c>
      <c r="H69" s="51">
        <v>45092</v>
      </c>
      <c r="I69" s="51">
        <v>45092</v>
      </c>
      <c r="J69" s="164">
        <f>6</f>
        <v>6</v>
      </c>
      <c r="K69" s="11">
        <f>+G69/F69*J69</f>
        <v>1345.2</v>
      </c>
      <c r="L69" s="127">
        <f>+D69+F69-J69</f>
        <v>0</v>
      </c>
      <c r="M69" s="76">
        <f t="shared" si="3"/>
        <v>0</v>
      </c>
      <c r="N69" s="108">
        <v>0</v>
      </c>
      <c r="O69" s="86" t="s">
        <v>41</v>
      </c>
      <c r="P69" s="134">
        <v>1202.1849999999999</v>
      </c>
      <c r="Q69" s="160"/>
      <c r="R69" s="160"/>
      <c r="S69" s="160"/>
    </row>
    <row r="70" spans="1:19" s="44" customFormat="1" ht="21.9" customHeight="1" x14ac:dyDescent="0.3">
      <c r="A70" s="38" t="s">
        <v>99</v>
      </c>
      <c r="B70" s="39" t="s">
        <v>277</v>
      </c>
      <c r="C70" s="8" t="s">
        <v>21</v>
      </c>
      <c r="D70" s="40">
        <v>0</v>
      </c>
      <c r="E70" s="41">
        <v>0</v>
      </c>
      <c r="F70" s="41">
        <v>0</v>
      </c>
      <c r="G70" s="41">
        <v>0</v>
      </c>
      <c r="H70" s="19">
        <v>45092</v>
      </c>
      <c r="I70" s="19">
        <v>45092</v>
      </c>
      <c r="J70" s="164"/>
      <c r="K70" s="11">
        <v>0</v>
      </c>
      <c r="L70" s="127">
        <f t="shared" si="4"/>
        <v>0</v>
      </c>
      <c r="M70" s="76">
        <f t="shared" si="3"/>
        <v>0</v>
      </c>
      <c r="N70" s="108">
        <v>2265.6000000000004</v>
      </c>
      <c r="O70" s="86"/>
      <c r="P70" s="134">
        <v>0</v>
      </c>
      <c r="Q70" s="160"/>
      <c r="R70" s="160"/>
      <c r="S70" s="160"/>
    </row>
    <row r="71" spans="1:19" s="44" customFormat="1" ht="21.9" customHeight="1" x14ac:dyDescent="0.3">
      <c r="A71" s="38" t="s">
        <v>100</v>
      </c>
      <c r="B71" s="42" t="s">
        <v>278</v>
      </c>
      <c r="C71" s="8" t="s">
        <v>26</v>
      </c>
      <c r="D71" s="40">
        <v>0</v>
      </c>
      <c r="E71" s="41">
        <v>0</v>
      </c>
      <c r="F71" s="41">
        <v>0</v>
      </c>
      <c r="G71" s="41">
        <v>0</v>
      </c>
      <c r="H71" s="19">
        <v>45092</v>
      </c>
      <c r="I71" s="19">
        <v>45092</v>
      </c>
      <c r="J71" s="164"/>
      <c r="K71" s="11">
        <v>0</v>
      </c>
      <c r="L71" s="127">
        <f t="shared" si="4"/>
        <v>0</v>
      </c>
      <c r="M71" s="76">
        <f t="shared" si="3"/>
        <v>0</v>
      </c>
      <c r="N71" s="108">
        <v>1397.1199999999997</v>
      </c>
      <c r="O71" s="86"/>
      <c r="P71" s="134">
        <v>0</v>
      </c>
      <c r="Q71" s="160"/>
      <c r="R71" s="160"/>
      <c r="S71" s="160"/>
    </row>
    <row r="72" spans="1:19" s="44" customFormat="1" ht="21.9" customHeight="1" x14ac:dyDescent="0.3">
      <c r="A72" s="38" t="s">
        <v>101</v>
      </c>
      <c r="B72" s="42" t="s">
        <v>380</v>
      </c>
      <c r="C72" s="21" t="s">
        <v>35</v>
      </c>
      <c r="D72" s="43">
        <v>2</v>
      </c>
      <c r="E72" s="41">
        <v>440.99333333333334</v>
      </c>
      <c r="F72" s="41">
        <v>0</v>
      </c>
      <c r="G72" s="41">
        <v>0</v>
      </c>
      <c r="H72" s="19">
        <v>45092</v>
      </c>
      <c r="I72" s="19">
        <v>45092</v>
      </c>
      <c r="J72" s="164"/>
      <c r="K72" s="11">
        <f>+E72/D72*J72</f>
        <v>0</v>
      </c>
      <c r="L72" s="127">
        <f t="shared" si="4"/>
        <v>2</v>
      </c>
      <c r="M72" s="76">
        <f t="shared" si="3"/>
        <v>440.99333333333334</v>
      </c>
      <c r="N72" s="108">
        <v>661.49</v>
      </c>
      <c r="O72" s="86" t="s">
        <v>41</v>
      </c>
      <c r="P72" s="134">
        <v>440.99333333333334</v>
      </c>
      <c r="Q72" s="160"/>
      <c r="R72" s="160"/>
      <c r="S72" s="160"/>
    </row>
    <row r="73" spans="1:19" s="44" customFormat="1" ht="21.9" customHeight="1" x14ac:dyDescent="0.3">
      <c r="A73" s="38" t="s">
        <v>103</v>
      </c>
      <c r="B73" s="42" t="s">
        <v>94</v>
      </c>
      <c r="C73" s="21" t="s">
        <v>26</v>
      </c>
      <c r="D73" s="43">
        <v>1</v>
      </c>
      <c r="E73" s="41">
        <v>392.34999999999991</v>
      </c>
      <c r="F73" s="41">
        <v>12</v>
      </c>
      <c r="G73" s="41">
        <f>3000+540</f>
        <v>3540</v>
      </c>
      <c r="H73" s="19">
        <v>45092</v>
      </c>
      <c r="I73" s="19">
        <v>45092</v>
      </c>
      <c r="J73" s="164">
        <v>1</v>
      </c>
      <c r="K73" s="11">
        <f>+E73/D73*J73</f>
        <v>392.34999999999991</v>
      </c>
      <c r="L73" s="127">
        <f t="shared" si="4"/>
        <v>12</v>
      </c>
      <c r="M73" s="76">
        <f t="shared" si="3"/>
        <v>3540</v>
      </c>
      <c r="N73" s="108">
        <v>1177.0499999999997</v>
      </c>
      <c r="O73" s="86" t="s">
        <v>41</v>
      </c>
      <c r="P73" s="134">
        <v>392.34999999999991</v>
      </c>
      <c r="Q73" s="160"/>
      <c r="R73" s="160"/>
      <c r="S73" s="160"/>
    </row>
    <row r="74" spans="1:19" s="18" customFormat="1" ht="21.9" customHeight="1" x14ac:dyDescent="0.3">
      <c r="A74" s="38" t="s">
        <v>104</v>
      </c>
      <c r="B74" s="39" t="s">
        <v>96</v>
      </c>
      <c r="C74" s="8" t="s">
        <v>26</v>
      </c>
      <c r="D74" s="40">
        <v>12</v>
      </c>
      <c r="E74" s="41">
        <v>1921.574854111406</v>
      </c>
      <c r="F74" s="41">
        <v>0</v>
      </c>
      <c r="G74" s="41">
        <v>0</v>
      </c>
      <c r="H74" s="19">
        <v>45092</v>
      </c>
      <c r="I74" s="19">
        <v>45092</v>
      </c>
      <c r="J74" s="164">
        <f>4+3+5</f>
        <v>12</v>
      </c>
      <c r="K74" s="11">
        <f>+E74/D74*J74</f>
        <v>1921.574854111406</v>
      </c>
      <c r="L74" s="127">
        <f t="shared" si="4"/>
        <v>0</v>
      </c>
      <c r="M74" s="76">
        <f t="shared" si="3"/>
        <v>0</v>
      </c>
      <c r="N74" s="108">
        <v>2544.0344827586205</v>
      </c>
      <c r="O74" s="86"/>
      <c r="P74" s="133">
        <v>4803.9371352785147</v>
      </c>
      <c r="Q74" s="58"/>
      <c r="R74" s="58"/>
      <c r="S74" s="58"/>
    </row>
    <row r="75" spans="1:19" s="18" customFormat="1" ht="21.9" customHeight="1" x14ac:dyDescent="0.3">
      <c r="A75" s="38" t="s">
        <v>221</v>
      </c>
      <c r="B75" s="39" t="s">
        <v>98</v>
      </c>
      <c r="C75" s="8" t="s">
        <v>26</v>
      </c>
      <c r="D75" s="40">
        <v>0</v>
      </c>
      <c r="E75" s="41">
        <v>0</v>
      </c>
      <c r="F75" s="41">
        <v>0</v>
      </c>
      <c r="G75" s="41">
        <v>0</v>
      </c>
      <c r="H75" s="19">
        <v>45092</v>
      </c>
      <c r="I75" s="19">
        <v>45092</v>
      </c>
      <c r="J75" s="164"/>
      <c r="K75" s="11">
        <v>0</v>
      </c>
      <c r="L75" s="127">
        <f t="shared" si="4"/>
        <v>0</v>
      </c>
      <c r="M75" s="76">
        <f t="shared" si="3"/>
        <v>0</v>
      </c>
      <c r="N75" s="108">
        <v>0</v>
      </c>
      <c r="O75" s="86" t="s">
        <v>41</v>
      </c>
      <c r="P75" s="133">
        <v>0</v>
      </c>
      <c r="Q75" s="58"/>
      <c r="R75" s="58"/>
      <c r="S75" s="58"/>
    </row>
    <row r="76" spans="1:19" s="18" customFormat="1" ht="21.9" customHeight="1" x14ac:dyDescent="0.3">
      <c r="A76" s="38" t="s">
        <v>222</v>
      </c>
      <c r="B76" s="39" t="s">
        <v>215</v>
      </c>
      <c r="C76" s="8" t="s">
        <v>26</v>
      </c>
      <c r="D76" s="40">
        <v>0</v>
      </c>
      <c r="E76" s="41">
        <v>0</v>
      </c>
      <c r="F76" s="41">
        <v>0</v>
      </c>
      <c r="G76" s="41">
        <v>0</v>
      </c>
      <c r="H76" s="19">
        <v>45092</v>
      </c>
      <c r="I76" s="19">
        <v>45092</v>
      </c>
      <c r="J76" s="164"/>
      <c r="K76" s="11">
        <v>0</v>
      </c>
      <c r="L76" s="127">
        <f t="shared" si="4"/>
        <v>0</v>
      </c>
      <c r="M76" s="76">
        <f t="shared" si="3"/>
        <v>0</v>
      </c>
      <c r="N76" s="108">
        <v>0</v>
      </c>
      <c r="O76" s="86"/>
      <c r="P76" s="133">
        <v>0</v>
      </c>
      <c r="Q76" s="58"/>
      <c r="R76" s="58"/>
      <c r="S76" s="58"/>
    </row>
    <row r="77" spans="1:19" s="18" customFormat="1" ht="21.9" customHeight="1" x14ac:dyDescent="0.3">
      <c r="A77" s="38" t="s">
        <v>223</v>
      </c>
      <c r="B77" s="42" t="s">
        <v>214</v>
      </c>
      <c r="C77" s="21" t="s">
        <v>26</v>
      </c>
      <c r="D77" s="43">
        <v>5</v>
      </c>
      <c r="E77" s="41">
        <v>241.00833333333333</v>
      </c>
      <c r="F77" s="41">
        <v>0</v>
      </c>
      <c r="G77" s="41">
        <v>0</v>
      </c>
      <c r="H77" s="19">
        <v>45092</v>
      </c>
      <c r="I77" s="19">
        <v>45092</v>
      </c>
      <c r="J77" s="164">
        <v>4</v>
      </c>
      <c r="K77" s="11">
        <f>+E77/D77*J77</f>
        <v>192.80666666666667</v>
      </c>
      <c r="L77" s="127">
        <f t="shared" si="4"/>
        <v>1</v>
      </c>
      <c r="M77" s="76">
        <f t="shared" si="3"/>
        <v>48.201666666666654</v>
      </c>
      <c r="N77" s="108">
        <v>241.00833333333333</v>
      </c>
      <c r="O77" s="86" t="s">
        <v>41</v>
      </c>
      <c r="P77" s="133">
        <v>241.00833333333333</v>
      </c>
      <c r="Q77" s="58"/>
      <c r="R77" s="58"/>
      <c r="S77" s="58"/>
    </row>
    <row r="78" spans="1:19" s="18" customFormat="1" ht="21.9" customHeight="1" x14ac:dyDescent="0.3">
      <c r="A78" s="38" t="s">
        <v>224</v>
      </c>
      <c r="B78" s="42" t="s">
        <v>102</v>
      </c>
      <c r="C78" s="21" t="s">
        <v>26</v>
      </c>
      <c r="D78" s="43">
        <v>2</v>
      </c>
      <c r="E78" s="41">
        <v>318.91724999999997</v>
      </c>
      <c r="F78" s="41">
        <v>10</v>
      </c>
      <c r="G78" s="41">
        <f>900+162</f>
        <v>1062</v>
      </c>
      <c r="H78" s="19" t="s">
        <v>399</v>
      </c>
      <c r="I78" s="19" t="s">
        <v>399</v>
      </c>
      <c r="J78" s="164"/>
      <c r="K78" s="11">
        <f>+E78/D78*J78</f>
        <v>0</v>
      </c>
      <c r="L78" s="127">
        <f t="shared" si="4"/>
        <v>12</v>
      </c>
      <c r="M78" s="76">
        <f t="shared" si="3"/>
        <v>1380.91725</v>
      </c>
      <c r="N78" s="108">
        <v>217.50450000000001</v>
      </c>
      <c r="O78" s="86" t="s">
        <v>41</v>
      </c>
      <c r="P78" s="133">
        <v>318.91724999999997</v>
      </c>
      <c r="Q78" s="58"/>
      <c r="R78" s="58"/>
      <c r="S78" s="58"/>
    </row>
    <row r="79" spans="1:19" s="18" customFormat="1" ht="21.9" customHeight="1" x14ac:dyDescent="0.3">
      <c r="A79" s="38" t="s">
        <v>225</v>
      </c>
      <c r="B79" s="42" t="s">
        <v>326</v>
      </c>
      <c r="C79" s="21" t="s">
        <v>26</v>
      </c>
      <c r="D79" s="43">
        <v>3</v>
      </c>
      <c r="E79" s="41">
        <v>10474.327499999999</v>
      </c>
      <c r="F79" s="41">
        <v>0</v>
      </c>
      <c r="G79" s="41">
        <v>0</v>
      </c>
      <c r="H79" s="19">
        <v>45947</v>
      </c>
      <c r="I79" s="19">
        <v>45947</v>
      </c>
      <c r="J79" s="164"/>
      <c r="K79" s="11">
        <f>+E79/D79*J79</f>
        <v>0</v>
      </c>
      <c r="L79" s="127">
        <f t="shared" si="4"/>
        <v>3</v>
      </c>
      <c r="M79" s="76">
        <f t="shared" si="3"/>
        <v>10474.327499999999</v>
      </c>
      <c r="N79" s="108">
        <v>13965.77</v>
      </c>
      <c r="O79" s="86"/>
      <c r="P79" s="133">
        <v>10474.327499999999</v>
      </c>
      <c r="Q79" s="58"/>
      <c r="R79" s="58"/>
      <c r="S79" s="58"/>
    </row>
    <row r="80" spans="1:19" s="18" customFormat="1" ht="21.9" customHeight="1" x14ac:dyDescent="0.3">
      <c r="A80" s="38" t="s">
        <v>226</v>
      </c>
      <c r="B80" s="42" t="s">
        <v>202</v>
      </c>
      <c r="C80" s="21" t="s">
        <v>26</v>
      </c>
      <c r="D80" s="43">
        <v>1</v>
      </c>
      <c r="E80" s="41">
        <v>292.49924999999996</v>
      </c>
      <c r="F80" s="41">
        <v>0</v>
      </c>
      <c r="G80" s="41">
        <v>0</v>
      </c>
      <c r="H80" s="19">
        <v>45092</v>
      </c>
      <c r="I80" s="19">
        <v>45092</v>
      </c>
      <c r="J80" s="164">
        <v>1</v>
      </c>
      <c r="K80" s="11">
        <f>+E80/D80*J80</f>
        <v>292.49924999999996</v>
      </c>
      <c r="L80" s="127">
        <f t="shared" si="4"/>
        <v>0</v>
      </c>
      <c r="M80" s="76">
        <f t="shared" si="3"/>
        <v>0</v>
      </c>
      <c r="N80" s="108">
        <v>292.49924999999996</v>
      </c>
      <c r="O80" s="86" t="s">
        <v>41</v>
      </c>
      <c r="P80" s="133">
        <v>292.49924999999996</v>
      </c>
      <c r="Q80" s="58"/>
      <c r="R80" s="58"/>
      <c r="S80" s="58"/>
    </row>
    <row r="81" spans="1:19" s="18" customFormat="1" ht="21.9" customHeight="1" x14ac:dyDescent="0.3">
      <c r="A81" s="38" t="s">
        <v>227</v>
      </c>
      <c r="B81" s="42" t="s">
        <v>105</v>
      </c>
      <c r="C81" s="21" t="s">
        <v>26</v>
      </c>
      <c r="D81" s="43">
        <v>0</v>
      </c>
      <c r="E81" s="41">
        <v>0</v>
      </c>
      <c r="F81" s="41">
        <v>30</v>
      </c>
      <c r="G81" s="41">
        <f>1230+221.4</f>
        <v>1451.4</v>
      </c>
      <c r="H81" s="19">
        <v>45092</v>
      </c>
      <c r="I81" s="19">
        <v>45092</v>
      </c>
      <c r="J81" s="164">
        <f>6+8+4</f>
        <v>18</v>
      </c>
      <c r="K81" s="11">
        <f>+G81/F81*J81</f>
        <v>870.84</v>
      </c>
      <c r="L81" s="127">
        <f t="shared" si="4"/>
        <v>12</v>
      </c>
      <c r="M81" s="76">
        <f t="shared" si="3"/>
        <v>580.56000000000006</v>
      </c>
      <c r="N81" s="108">
        <v>0</v>
      </c>
      <c r="O81" s="86"/>
      <c r="P81" s="133">
        <v>453.12000000000006</v>
      </c>
      <c r="Q81" s="58"/>
      <c r="R81" s="58"/>
      <c r="S81" s="58"/>
    </row>
    <row r="82" spans="1:19" s="18" customFormat="1" ht="21.9" customHeight="1" x14ac:dyDescent="0.3">
      <c r="A82" s="38" t="s">
        <v>228</v>
      </c>
      <c r="B82" s="42" t="s">
        <v>203</v>
      </c>
      <c r="C82" s="21" t="s">
        <v>26</v>
      </c>
      <c r="D82" s="43">
        <v>0</v>
      </c>
      <c r="E82" s="41">
        <v>0</v>
      </c>
      <c r="F82" s="41">
        <v>300</v>
      </c>
      <c r="G82" s="41">
        <f>300+54</f>
        <v>354</v>
      </c>
      <c r="H82" s="19">
        <v>45092</v>
      </c>
      <c r="I82" s="19">
        <v>45092</v>
      </c>
      <c r="J82" s="164">
        <f>40+90+45</f>
        <v>175</v>
      </c>
      <c r="K82" s="11">
        <f>+F82/G82*J82</f>
        <v>148.30508474576271</v>
      </c>
      <c r="L82" s="127">
        <f t="shared" si="4"/>
        <v>125</v>
      </c>
      <c r="M82" s="76">
        <v>153.9</v>
      </c>
      <c r="N82" s="108">
        <v>0</v>
      </c>
      <c r="O82" s="86"/>
      <c r="P82" s="133">
        <v>900.19840000000011</v>
      </c>
      <c r="Q82" s="58"/>
      <c r="R82" s="58"/>
      <c r="S82" s="58"/>
    </row>
    <row r="83" spans="1:19" s="18" customFormat="1" ht="21.9" customHeight="1" x14ac:dyDescent="0.3">
      <c r="A83" s="38" t="s">
        <v>229</v>
      </c>
      <c r="B83" s="42" t="s">
        <v>204</v>
      </c>
      <c r="C83" s="21" t="s">
        <v>26</v>
      </c>
      <c r="D83" s="43">
        <v>0</v>
      </c>
      <c r="E83" s="41">
        <v>0</v>
      </c>
      <c r="F83" s="41">
        <v>0</v>
      </c>
      <c r="G83" s="41">
        <v>0</v>
      </c>
      <c r="H83" s="19">
        <v>45092</v>
      </c>
      <c r="I83" s="19">
        <v>45092</v>
      </c>
      <c r="J83" s="164"/>
      <c r="K83" s="11">
        <v>0</v>
      </c>
      <c r="L83" s="127">
        <f t="shared" si="4"/>
        <v>0</v>
      </c>
      <c r="M83" s="76">
        <f t="shared" si="3"/>
        <v>0</v>
      </c>
      <c r="N83" s="108">
        <v>0</v>
      </c>
      <c r="O83" s="86"/>
      <c r="P83" s="133">
        <v>0</v>
      </c>
      <c r="Q83" s="58"/>
      <c r="R83" s="58"/>
      <c r="S83" s="58"/>
    </row>
    <row r="84" spans="1:19" s="18" customFormat="1" ht="21.9" customHeight="1" x14ac:dyDescent="0.3">
      <c r="A84" s="38" t="s">
        <v>230</v>
      </c>
      <c r="B84" s="42" t="s">
        <v>205</v>
      </c>
      <c r="C84" s="21" t="s">
        <v>26</v>
      </c>
      <c r="D84" s="43">
        <v>0</v>
      </c>
      <c r="E84" s="41">
        <v>0</v>
      </c>
      <c r="F84" s="41">
        <v>0</v>
      </c>
      <c r="G84" s="41">
        <v>0</v>
      </c>
      <c r="H84" s="19">
        <v>45092</v>
      </c>
      <c r="I84" s="19">
        <v>45092</v>
      </c>
      <c r="J84" s="164"/>
      <c r="K84" s="11">
        <v>0</v>
      </c>
      <c r="L84" s="127">
        <f t="shared" si="4"/>
        <v>0</v>
      </c>
      <c r="M84" s="76">
        <v>0</v>
      </c>
      <c r="N84" s="108">
        <v>0</v>
      </c>
      <c r="O84" s="86"/>
      <c r="P84" s="133">
        <v>0</v>
      </c>
      <c r="Q84" s="58"/>
      <c r="R84" s="58"/>
      <c r="S84" s="58"/>
    </row>
    <row r="85" spans="1:19" s="18" customFormat="1" ht="21.9" customHeight="1" x14ac:dyDescent="0.3">
      <c r="A85" s="38" t="s">
        <v>363</v>
      </c>
      <c r="B85" s="42" t="s">
        <v>373</v>
      </c>
      <c r="C85" s="21" t="s">
        <v>26</v>
      </c>
      <c r="D85" s="43">
        <v>0</v>
      </c>
      <c r="E85" s="41">
        <v>0</v>
      </c>
      <c r="F85" s="41">
        <v>400</v>
      </c>
      <c r="G85" s="41">
        <f>1600+288</f>
        <v>1888</v>
      </c>
      <c r="H85" s="19">
        <v>45611</v>
      </c>
      <c r="I85" s="19">
        <v>45611</v>
      </c>
      <c r="J85" s="164">
        <v>25</v>
      </c>
      <c r="K85" s="11">
        <f>+G85/F85*J85</f>
        <v>118</v>
      </c>
      <c r="L85" s="127">
        <f t="shared" si="4"/>
        <v>375</v>
      </c>
      <c r="M85" s="76">
        <f t="shared" si="3"/>
        <v>1770</v>
      </c>
      <c r="N85" s="108"/>
      <c r="O85" s="86"/>
      <c r="P85" s="133">
        <v>0</v>
      </c>
      <c r="Q85" s="58"/>
      <c r="R85" s="58"/>
      <c r="S85" s="58"/>
    </row>
    <row r="86" spans="1:19" s="18" customFormat="1" ht="21.9" customHeight="1" x14ac:dyDescent="0.3">
      <c r="A86" s="38" t="s">
        <v>364</v>
      </c>
      <c r="B86" s="42" t="s">
        <v>206</v>
      </c>
      <c r="C86" s="21" t="s">
        <v>26</v>
      </c>
      <c r="D86" s="43">
        <v>0</v>
      </c>
      <c r="E86" s="41">
        <v>0</v>
      </c>
      <c r="F86" s="41">
        <v>0</v>
      </c>
      <c r="G86" s="41">
        <v>0</v>
      </c>
      <c r="H86" s="19">
        <v>45092</v>
      </c>
      <c r="I86" s="19">
        <v>45092</v>
      </c>
      <c r="J86" s="164"/>
      <c r="K86" s="11">
        <v>0</v>
      </c>
      <c r="L86" s="127">
        <f t="shared" si="4"/>
        <v>0</v>
      </c>
      <c r="M86" s="76">
        <f t="shared" si="3"/>
        <v>0</v>
      </c>
      <c r="N86" s="108">
        <v>0</v>
      </c>
      <c r="O86" s="86"/>
      <c r="P86" s="133">
        <v>0</v>
      </c>
      <c r="Q86" s="58"/>
      <c r="R86" s="58"/>
      <c r="S86" s="58"/>
    </row>
    <row r="87" spans="1:19" s="18" customFormat="1" ht="21.9" customHeight="1" x14ac:dyDescent="0.3">
      <c r="A87" s="38" t="s">
        <v>365</v>
      </c>
      <c r="B87" s="42" t="s">
        <v>375</v>
      </c>
      <c r="C87" s="21" t="s">
        <v>26</v>
      </c>
      <c r="D87" s="43">
        <v>0</v>
      </c>
      <c r="E87" s="41">
        <v>0</v>
      </c>
      <c r="F87" s="41">
        <v>0</v>
      </c>
      <c r="G87" s="41">
        <v>0</v>
      </c>
      <c r="H87" s="19">
        <v>45611</v>
      </c>
      <c r="I87" s="19">
        <v>45611</v>
      </c>
      <c r="J87" s="164"/>
      <c r="K87" s="11">
        <v>0</v>
      </c>
      <c r="L87" s="127">
        <f t="shared" si="4"/>
        <v>0</v>
      </c>
      <c r="M87" s="76">
        <f t="shared" si="3"/>
        <v>0</v>
      </c>
      <c r="N87" s="108"/>
      <c r="O87" s="86"/>
      <c r="P87" s="133">
        <v>0</v>
      </c>
      <c r="Q87" s="58"/>
      <c r="R87" s="58"/>
      <c r="S87" s="58"/>
    </row>
    <row r="88" spans="1:19" s="18" customFormat="1" ht="21.9" customHeight="1" x14ac:dyDescent="0.3">
      <c r="A88" s="38" t="s">
        <v>366</v>
      </c>
      <c r="B88" s="42" t="s">
        <v>390</v>
      </c>
      <c r="C88" s="21" t="s">
        <v>26</v>
      </c>
      <c r="D88" s="43">
        <v>0</v>
      </c>
      <c r="E88" s="41">
        <v>0</v>
      </c>
      <c r="F88" s="41">
        <v>0</v>
      </c>
      <c r="G88" s="41">
        <v>0</v>
      </c>
      <c r="H88" s="19">
        <v>45947</v>
      </c>
      <c r="I88" s="19">
        <v>45947</v>
      </c>
      <c r="J88" s="164"/>
      <c r="K88" s="11">
        <v>0</v>
      </c>
      <c r="L88" s="127">
        <f>+D88+F88-J88</f>
        <v>0</v>
      </c>
      <c r="M88" s="76">
        <f>+E88+G88-K88</f>
        <v>0</v>
      </c>
      <c r="N88" s="108"/>
      <c r="O88" s="86"/>
      <c r="P88" s="133"/>
      <c r="Q88" s="58"/>
      <c r="R88" s="58"/>
      <c r="S88" s="58"/>
    </row>
    <row r="89" spans="1:19" s="18" customFormat="1" ht="21.9" customHeight="1" x14ac:dyDescent="0.3">
      <c r="A89" s="38" t="s">
        <v>367</v>
      </c>
      <c r="B89" s="42" t="s">
        <v>207</v>
      </c>
      <c r="C89" s="21" t="s">
        <v>26</v>
      </c>
      <c r="D89" s="43">
        <v>2</v>
      </c>
      <c r="E89" s="41">
        <v>1402.8728999999998</v>
      </c>
      <c r="F89" s="41">
        <v>0</v>
      </c>
      <c r="G89" s="41">
        <v>0</v>
      </c>
      <c r="H89" s="19">
        <v>45092</v>
      </c>
      <c r="I89" s="19">
        <v>45092</v>
      </c>
      <c r="J89" s="164"/>
      <c r="K89" s="11">
        <v>0</v>
      </c>
      <c r="L89" s="90">
        <v>2</v>
      </c>
      <c r="M89" s="76">
        <f t="shared" si="3"/>
        <v>1402.8728999999998</v>
      </c>
      <c r="N89" s="108">
        <v>2805.7457999999997</v>
      </c>
      <c r="O89" s="86"/>
      <c r="P89" s="133">
        <v>2805.7457999999997</v>
      </c>
      <c r="Q89" s="58"/>
      <c r="R89" s="58"/>
      <c r="S89" s="58"/>
    </row>
    <row r="90" spans="1:19" s="18" customFormat="1" ht="21.9" customHeight="1" x14ac:dyDescent="0.3">
      <c r="A90" s="38" t="s">
        <v>369</v>
      </c>
      <c r="B90" s="42" t="s">
        <v>213</v>
      </c>
      <c r="C90" s="21" t="s">
        <v>26</v>
      </c>
      <c r="D90" s="41">
        <v>0</v>
      </c>
      <c r="E90" s="41">
        <v>0</v>
      </c>
      <c r="F90" s="41">
        <v>0</v>
      </c>
      <c r="G90" s="41">
        <v>0</v>
      </c>
      <c r="H90" s="19">
        <v>45092</v>
      </c>
      <c r="I90" s="19">
        <v>45092</v>
      </c>
      <c r="J90" s="164"/>
      <c r="K90" s="11">
        <v>0</v>
      </c>
      <c r="L90" s="90">
        <v>0</v>
      </c>
      <c r="M90" s="76">
        <f t="shared" si="3"/>
        <v>0</v>
      </c>
      <c r="N90" s="108">
        <v>0</v>
      </c>
      <c r="O90" s="86"/>
      <c r="P90" s="133">
        <v>0</v>
      </c>
      <c r="Q90" s="58"/>
      <c r="R90" s="58"/>
      <c r="S90" s="58"/>
    </row>
    <row r="91" spans="1:19" s="18" customFormat="1" ht="21.9" customHeight="1" x14ac:dyDescent="0.3">
      <c r="A91" s="38" t="s">
        <v>370</v>
      </c>
      <c r="B91" s="42" t="s">
        <v>391</v>
      </c>
      <c r="C91" s="21" t="s">
        <v>26</v>
      </c>
      <c r="D91" s="41">
        <v>0</v>
      </c>
      <c r="E91" s="41">
        <v>0</v>
      </c>
      <c r="F91" s="41">
        <v>1</v>
      </c>
      <c r="G91" s="41">
        <f>190+34.2</f>
        <v>224.2</v>
      </c>
      <c r="H91" s="19">
        <v>45092</v>
      </c>
      <c r="I91" s="19">
        <v>45092</v>
      </c>
      <c r="J91" s="164"/>
      <c r="K91" s="11">
        <v>0</v>
      </c>
      <c r="L91" s="90">
        <f t="shared" ref="L91:M93" si="6">+D91+F91-J91</f>
        <v>1</v>
      </c>
      <c r="M91" s="76">
        <f t="shared" si="6"/>
        <v>224.2</v>
      </c>
      <c r="N91" s="108"/>
      <c r="O91" s="86"/>
      <c r="P91" s="133"/>
      <c r="Q91" s="58"/>
      <c r="R91" s="58"/>
      <c r="S91" s="58"/>
    </row>
    <row r="92" spans="1:19" s="18" customFormat="1" ht="21.9" customHeight="1" x14ac:dyDescent="0.3">
      <c r="A92" s="38" t="s">
        <v>372</v>
      </c>
      <c r="B92" s="42" t="s">
        <v>392</v>
      </c>
      <c r="C92" s="21" t="s">
        <v>26</v>
      </c>
      <c r="D92" s="41">
        <v>0</v>
      </c>
      <c r="E92" s="41">
        <v>0</v>
      </c>
      <c r="F92" s="41">
        <v>2</v>
      </c>
      <c r="G92" s="41">
        <f>790+142.2</f>
        <v>932.2</v>
      </c>
      <c r="H92" s="19">
        <v>45092</v>
      </c>
      <c r="I92" s="19">
        <v>45092</v>
      </c>
      <c r="J92" s="164">
        <v>1</v>
      </c>
      <c r="K92" s="11">
        <f>+G92/F92*J92</f>
        <v>466.1</v>
      </c>
      <c r="L92" s="90">
        <f t="shared" si="6"/>
        <v>1</v>
      </c>
      <c r="M92" s="76">
        <f t="shared" si="6"/>
        <v>466.1</v>
      </c>
      <c r="N92" s="108"/>
      <c r="O92" s="86"/>
      <c r="P92" s="133"/>
      <c r="Q92" s="58"/>
      <c r="R92" s="58"/>
      <c r="S92" s="58"/>
    </row>
    <row r="93" spans="1:19" s="18" customFormat="1" ht="21.9" customHeight="1" x14ac:dyDescent="0.3">
      <c r="A93" s="38" t="s">
        <v>374</v>
      </c>
      <c r="B93" s="42" t="s">
        <v>397</v>
      </c>
      <c r="C93" s="21" t="s">
        <v>26</v>
      </c>
      <c r="D93" s="41">
        <v>0</v>
      </c>
      <c r="E93" s="41">
        <v>0</v>
      </c>
      <c r="F93" s="41">
        <v>2</v>
      </c>
      <c r="G93" s="41">
        <f>270+48.6</f>
        <v>318.60000000000002</v>
      </c>
      <c r="H93" s="19">
        <v>45092</v>
      </c>
      <c r="I93" s="19">
        <v>45092</v>
      </c>
      <c r="J93" s="164">
        <v>2</v>
      </c>
      <c r="K93" s="11">
        <f>+G93/F93*J93</f>
        <v>318.60000000000002</v>
      </c>
      <c r="L93" s="90">
        <f t="shared" si="6"/>
        <v>0</v>
      </c>
      <c r="M93" s="76">
        <f t="shared" si="6"/>
        <v>0</v>
      </c>
      <c r="N93" s="108"/>
      <c r="O93" s="86"/>
      <c r="P93" s="133"/>
      <c r="Q93" s="58"/>
      <c r="R93" s="58"/>
      <c r="S93" s="58"/>
    </row>
    <row r="94" spans="1:19" s="18" customFormat="1" ht="21.9" customHeight="1" x14ac:dyDescent="0.3">
      <c r="A94" s="38" t="s">
        <v>393</v>
      </c>
      <c r="B94" s="42" t="s">
        <v>56</v>
      </c>
      <c r="C94" s="21" t="s">
        <v>26</v>
      </c>
      <c r="D94" s="43">
        <v>2</v>
      </c>
      <c r="E94" s="41">
        <v>2138.3901000000001</v>
      </c>
      <c r="F94" s="41">
        <v>0</v>
      </c>
      <c r="G94" s="41">
        <v>0</v>
      </c>
      <c r="H94" s="19">
        <v>45092</v>
      </c>
      <c r="I94" s="19">
        <v>45092</v>
      </c>
      <c r="J94" s="164">
        <v>1</v>
      </c>
      <c r="K94" s="11">
        <f>+E94/D94*J94</f>
        <v>1069.19505</v>
      </c>
      <c r="L94" s="90">
        <f>+D94+F94-J94</f>
        <v>1</v>
      </c>
      <c r="M94" s="76">
        <f t="shared" si="3"/>
        <v>1069.19505</v>
      </c>
      <c r="N94" s="108">
        <v>2138.3901000000001</v>
      </c>
      <c r="O94" s="86"/>
      <c r="P94" s="133">
        <v>2138.3901000000001</v>
      </c>
      <c r="Q94" s="58"/>
      <c r="R94" s="58"/>
      <c r="S94" s="58"/>
    </row>
    <row r="95" spans="1:19" s="18" customFormat="1" ht="21.9" customHeight="1" x14ac:dyDescent="0.3">
      <c r="A95" s="38" t="s">
        <v>394</v>
      </c>
      <c r="B95" s="42" t="s">
        <v>217</v>
      </c>
      <c r="C95" s="21" t="s">
        <v>26</v>
      </c>
      <c r="D95" s="41"/>
      <c r="E95" s="41">
        <v>0</v>
      </c>
      <c r="F95" s="41">
        <v>0</v>
      </c>
      <c r="G95" s="41">
        <v>0</v>
      </c>
      <c r="H95" s="19">
        <v>45092</v>
      </c>
      <c r="I95" s="19">
        <v>45092</v>
      </c>
      <c r="J95" s="164"/>
      <c r="K95" s="11"/>
      <c r="L95" s="90"/>
      <c r="M95" s="76">
        <f t="shared" si="3"/>
        <v>0</v>
      </c>
      <c r="N95" s="108">
        <v>0</v>
      </c>
      <c r="O95" s="86"/>
      <c r="P95" s="133">
        <v>0</v>
      </c>
      <c r="Q95" s="58"/>
      <c r="R95" s="58"/>
      <c r="S95" s="58"/>
    </row>
    <row r="96" spans="1:19" s="18" customFormat="1" ht="21.9" customHeight="1" x14ac:dyDescent="0.3">
      <c r="A96" s="38" t="s">
        <v>395</v>
      </c>
      <c r="B96" s="42" t="s">
        <v>218</v>
      </c>
      <c r="C96" s="21" t="s">
        <v>26</v>
      </c>
      <c r="D96" s="41">
        <v>0</v>
      </c>
      <c r="E96" s="41">
        <v>0</v>
      </c>
      <c r="F96" s="41">
        <v>6</v>
      </c>
      <c r="G96" s="41">
        <f>420+75.6</f>
        <v>495.6</v>
      </c>
      <c r="H96" s="19">
        <v>45092</v>
      </c>
      <c r="I96" s="19">
        <v>45092</v>
      </c>
      <c r="J96" s="164"/>
      <c r="K96" s="11"/>
      <c r="L96" s="90">
        <f>+D96+F96-J96</f>
        <v>6</v>
      </c>
      <c r="M96" s="76">
        <f t="shared" si="3"/>
        <v>495.6</v>
      </c>
      <c r="N96" s="108">
        <v>0</v>
      </c>
      <c r="O96" s="86"/>
      <c r="P96" s="133">
        <v>0</v>
      </c>
      <c r="Q96" s="58"/>
      <c r="R96" s="58"/>
      <c r="S96" s="58"/>
    </row>
    <row r="97" spans="1:19" s="18" customFormat="1" ht="21.9" customHeight="1" x14ac:dyDescent="0.3">
      <c r="A97" s="38"/>
      <c r="B97" s="42" t="s">
        <v>402</v>
      </c>
      <c r="C97" s="21" t="s">
        <v>26</v>
      </c>
      <c r="D97" s="41"/>
      <c r="E97" s="41"/>
      <c r="F97" s="41">
        <v>2</v>
      </c>
      <c r="G97" s="41">
        <f>700+126</f>
        <v>826</v>
      </c>
      <c r="H97" s="19" t="s">
        <v>399</v>
      </c>
      <c r="I97" s="19" t="s">
        <v>399</v>
      </c>
      <c r="J97" s="164">
        <v>1</v>
      </c>
      <c r="K97" s="11">
        <f>+G97/F97*J97</f>
        <v>413</v>
      </c>
      <c r="L97" s="90">
        <f>+D97+F97-J97</f>
        <v>1</v>
      </c>
      <c r="M97" s="76">
        <f t="shared" si="3"/>
        <v>413</v>
      </c>
      <c r="N97" s="108"/>
      <c r="O97" s="86"/>
      <c r="P97" s="133"/>
      <c r="Q97" s="58"/>
      <c r="R97" s="58"/>
      <c r="S97" s="58"/>
    </row>
    <row r="98" spans="1:19" s="18" customFormat="1" ht="21.9" customHeight="1" x14ac:dyDescent="0.3">
      <c r="A98" s="38"/>
      <c r="B98" s="42" t="s">
        <v>401</v>
      </c>
      <c r="C98" s="21" t="s">
        <v>26</v>
      </c>
      <c r="D98" s="41"/>
      <c r="E98" s="41"/>
      <c r="F98" s="41">
        <v>1</v>
      </c>
      <c r="G98" s="41">
        <f>1150+207</f>
        <v>1357</v>
      </c>
      <c r="H98" s="19" t="s">
        <v>399</v>
      </c>
      <c r="I98" s="19" t="s">
        <v>399</v>
      </c>
      <c r="J98" s="164"/>
      <c r="K98" s="11">
        <f t="shared" ref="K98:K99" si="7">+G98/F98*J98</f>
        <v>0</v>
      </c>
      <c r="L98" s="90">
        <f>+D98+F98-J98</f>
        <v>1</v>
      </c>
      <c r="M98" s="76">
        <f t="shared" si="3"/>
        <v>1357</v>
      </c>
      <c r="N98" s="108"/>
      <c r="O98" s="86"/>
      <c r="P98" s="133"/>
      <c r="Q98" s="58"/>
      <c r="R98" s="58"/>
      <c r="S98" s="58"/>
    </row>
    <row r="99" spans="1:19" s="18" customFormat="1" ht="21.9" customHeight="1" x14ac:dyDescent="0.3">
      <c r="A99" s="38"/>
      <c r="B99" s="42" t="s">
        <v>400</v>
      </c>
      <c r="C99" s="21" t="s">
        <v>26</v>
      </c>
      <c r="D99" s="41"/>
      <c r="E99" s="41"/>
      <c r="F99" s="41">
        <v>2</v>
      </c>
      <c r="G99" s="41">
        <f>5340+961.2</f>
        <v>6301.2</v>
      </c>
      <c r="H99" s="19" t="s">
        <v>399</v>
      </c>
      <c r="I99" s="19" t="s">
        <v>399</v>
      </c>
      <c r="J99" s="164">
        <v>1</v>
      </c>
      <c r="K99" s="11">
        <f t="shared" si="7"/>
        <v>3150.6</v>
      </c>
      <c r="L99" s="90">
        <f>+D99+F99-J99</f>
        <v>1</v>
      </c>
      <c r="M99" s="76">
        <f t="shared" si="3"/>
        <v>3150.6</v>
      </c>
      <c r="N99" s="108"/>
      <c r="O99" s="86"/>
      <c r="P99" s="133"/>
      <c r="Q99" s="58"/>
      <c r="R99" s="58"/>
      <c r="S99" s="58"/>
    </row>
    <row r="100" spans="1:19" s="18" customFormat="1" ht="21.9" customHeight="1" x14ac:dyDescent="0.3">
      <c r="A100" s="38" t="s">
        <v>396</v>
      </c>
      <c r="B100" s="42" t="s">
        <v>201</v>
      </c>
      <c r="C100" s="21" t="s">
        <v>26</v>
      </c>
      <c r="D100" s="43">
        <v>6</v>
      </c>
      <c r="E100" s="41">
        <v>3679.9806666666668</v>
      </c>
      <c r="F100" s="41">
        <v>0</v>
      </c>
      <c r="G100" s="41">
        <v>0</v>
      </c>
      <c r="H100" s="19">
        <v>45092</v>
      </c>
      <c r="I100" s="19">
        <v>45092</v>
      </c>
      <c r="J100" s="164"/>
      <c r="K100" s="11">
        <v>0</v>
      </c>
      <c r="L100" s="90">
        <v>6</v>
      </c>
      <c r="M100" s="76">
        <f t="shared" si="3"/>
        <v>3679.9806666666668</v>
      </c>
      <c r="N100" s="108">
        <v>3679.9806666666668</v>
      </c>
      <c r="O100" s="86" t="s">
        <v>41</v>
      </c>
      <c r="P100" s="133">
        <v>3679.9806666666668</v>
      </c>
      <c r="Q100" s="58"/>
      <c r="R100" s="58"/>
      <c r="S100" s="58"/>
    </row>
    <row r="101" spans="1:19" s="18" customFormat="1" ht="21.9" customHeight="1" x14ac:dyDescent="0.3">
      <c r="A101" s="195" t="s">
        <v>28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96"/>
      <c r="M101" s="26">
        <f>SUM(M36:M100)</f>
        <v>103679.92511052472</v>
      </c>
      <c r="N101" s="26">
        <f>SUM(N36:N100)</f>
        <v>81708.240095124274</v>
      </c>
      <c r="O101" s="85"/>
      <c r="P101" s="137">
        <f>SUM(P36:P100)</f>
        <v>88023.500707748477</v>
      </c>
      <c r="Q101" s="160"/>
      <c r="R101" s="58"/>
      <c r="S101" s="58"/>
    </row>
    <row r="102" spans="1:19" s="18" customFormat="1" ht="21.9" customHeight="1" x14ac:dyDescent="0.3">
      <c r="A102" s="48"/>
      <c r="B102" s="48"/>
      <c r="C102" s="48"/>
      <c r="D102" s="48"/>
      <c r="E102" s="48"/>
      <c r="F102" s="48"/>
      <c r="G102" s="48"/>
      <c r="H102" s="48"/>
      <c r="I102" s="48"/>
      <c r="J102" s="49"/>
      <c r="K102" s="49"/>
      <c r="L102" s="49"/>
      <c r="M102" s="50"/>
      <c r="N102" s="50"/>
      <c r="O102" s="48"/>
      <c r="S102" s="58"/>
    </row>
    <row r="103" spans="1:19" s="18" customFormat="1" ht="21.9" customHeight="1" x14ac:dyDescent="0.3">
      <c r="A103" s="181" t="s">
        <v>106</v>
      </c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S103" s="58"/>
    </row>
    <row r="104" spans="1:19" s="18" customFormat="1" ht="21.9" customHeight="1" x14ac:dyDescent="0.3">
      <c r="A104" s="51" t="s">
        <v>107</v>
      </c>
      <c r="B104" s="39" t="s">
        <v>279</v>
      </c>
      <c r="C104" s="8" t="s">
        <v>21</v>
      </c>
      <c r="D104" s="52">
        <v>0</v>
      </c>
      <c r="E104" s="41">
        <v>0</v>
      </c>
      <c r="F104" s="20">
        <v>0</v>
      </c>
      <c r="G104" s="20">
        <v>0</v>
      </c>
      <c r="H104" s="19">
        <v>45092</v>
      </c>
      <c r="I104" s="19">
        <v>45092</v>
      </c>
      <c r="J104" s="20"/>
      <c r="K104" s="11">
        <v>0</v>
      </c>
      <c r="L104" s="90">
        <v>0</v>
      </c>
      <c r="M104" s="10">
        <v>0</v>
      </c>
      <c r="N104" s="109">
        <v>0</v>
      </c>
      <c r="O104" s="54" t="s">
        <v>31</v>
      </c>
      <c r="P104" s="133">
        <v>0</v>
      </c>
      <c r="Q104" s="58">
        <v>0</v>
      </c>
      <c r="R104" s="58"/>
      <c r="S104" s="58"/>
    </row>
    <row r="105" spans="1:19" s="18" customFormat="1" ht="21.9" customHeight="1" x14ac:dyDescent="0.3">
      <c r="A105" s="51" t="s">
        <v>108</v>
      </c>
      <c r="B105" s="42" t="s">
        <v>284</v>
      </c>
      <c r="C105" s="8" t="s">
        <v>26</v>
      </c>
      <c r="D105" s="52">
        <v>89</v>
      </c>
      <c r="E105" s="41">
        <v>102.57063025210086</v>
      </c>
      <c r="F105" s="20">
        <v>0</v>
      </c>
      <c r="G105" s="20">
        <v>0</v>
      </c>
      <c r="H105" s="19">
        <v>45092</v>
      </c>
      <c r="I105" s="19">
        <v>45092</v>
      </c>
      <c r="J105" s="165">
        <f>25+45</f>
        <v>70</v>
      </c>
      <c r="K105" s="11">
        <f>+E105/D105*J105</f>
        <v>80.673529411764719</v>
      </c>
      <c r="L105" s="90">
        <f>+D105+F105-J105</f>
        <v>19</v>
      </c>
      <c r="M105" s="10">
        <f>+E105+G105-K105</f>
        <v>21.897100840336137</v>
      </c>
      <c r="N105" s="109">
        <v>433.33210084033618</v>
      </c>
      <c r="O105" s="54"/>
      <c r="P105" s="133">
        <v>159.04210084033616</v>
      </c>
      <c r="Q105" s="58"/>
      <c r="R105" s="58"/>
      <c r="S105" s="58"/>
    </row>
    <row r="106" spans="1:19" s="18" customFormat="1" ht="21.9" customHeight="1" x14ac:dyDescent="0.3">
      <c r="A106" s="51" t="s">
        <v>109</v>
      </c>
      <c r="B106" s="42" t="s">
        <v>291</v>
      </c>
      <c r="C106" s="8" t="s">
        <v>342</v>
      </c>
      <c r="D106" s="52">
        <v>0</v>
      </c>
      <c r="E106" s="41">
        <v>0</v>
      </c>
      <c r="F106" s="20">
        <v>0</v>
      </c>
      <c r="G106" s="20">
        <v>0</v>
      </c>
      <c r="H106" s="19">
        <v>45768</v>
      </c>
      <c r="I106" s="19">
        <v>45768</v>
      </c>
      <c r="J106" s="165"/>
      <c r="K106" s="11">
        <v>0</v>
      </c>
      <c r="L106" s="90">
        <f t="shared" ref="L106:M169" si="8">+D106+F106-J106</f>
        <v>0</v>
      </c>
      <c r="M106" s="10">
        <f t="shared" ref="M106:M117" si="9">+E106+G106-K106</f>
        <v>0</v>
      </c>
      <c r="N106" s="109">
        <v>0</v>
      </c>
      <c r="O106" s="54"/>
      <c r="P106" s="133">
        <v>0</v>
      </c>
      <c r="Q106" s="58">
        <v>0</v>
      </c>
      <c r="R106" s="58"/>
      <c r="S106" s="58"/>
    </row>
    <row r="107" spans="1:19" s="18" customFormat="1" ht="21.9" customHeight="1" x14ac:dyDescent="0.3">
      <c r="A107" s="51" t="s">
        <v>110</v>
      </c>
      <c r="B107" s="42" t="s">
        <v>291</v>
      </c>
      <c r="C107" s="8" t="s">
        <v>26</v>
      </c>
      <c r="D107" s="52">
        <v>455</v>
      </c>
      <c r="E107" s="41">
        <v>2594.7791381423258</v>
      </c>
      <c r="F107" s="20">
        <v>0</v>
      </c>
      <c r="G107" s="20">
        <v>0</v>
      </c>
      <c r="H107" s="19">
        <v>45092</v>
      </c>
      <c r="I107" s="19">
        <v>45092</v>
      </c>
      <c r="J107" s="165">
        <f>25+91+10</f>
        <v>126</v>
      </c>
      <c r="K107" s="11">
        <f>+E107/D107*J107</f>
        <v>718.55422287018257</v>
      </c>
      <c r="L107" s="90">
        <f t="shared" si="8"/>
        <v>329</v>
      </c>
      <c r="M107" s="10">
        <f t="shared" si="9"/>
        <v>1876.2249152721433</v>
      </c>
      <c r="N107" s="109">
        <v>2077.5802209504491</v>
      </c>
      <c r="O107" s="54"/>
      <c r="P107" s="133">
        <v>307.61438351202548</v>
      </c>
      <c r="Q107" s="58"/>
      <c r="R107" s="58"/>
      <c r="S107" s="58"/>
    </row>
    <row r="108" spans="1:19" s="18" customFormat="1" ht="21.9" customHeight="1" x14ac:dyDescent="0.3">
      <c r="A108" s="51" t="s">
        <v>111</v>
      </c>
      <c r="B108" s="42" t="s">
        <v>339</v>
      </c>
      <c r="C108" s="8" t="s">
        <v>26</v>
      </c>
      <c r="D108" s="52">
        <v>88</v>
      </c>
      <c r="E108" s="41">
        <v>4672.8</v>
      </c>
      <c r="F108" s="20">
        <v>0</v>
      </c>
      <c r="G108" s="20">
        <v>0</v>
      </c>
      <c r="H108" s="19">
        <v>45397</v>
      </c>
      <c r="I108" s="19">
        <v>45397</v>
      </c>
      <c r="J108" s="165"/>
      <c r="K108" s="11">
        <v>0</v>
      </c>
      <c r="L108" s="90">
        <v>88</v>
      </c>
      <c r="M108" s="10">
        <f t="shared" si="9"/>
        <v>4672.8</v>
      </c>
      <c r="N108" s="109">
        <v>4672.8</v>
      </c>
      <c r="O108" s="54"/>
      <c r="P108" s="133">
        <v>4672.8</v>
      </c>
      <c r="Q108" s="58"/>
      <c r="R108" s="58"/>
      <c r="S108" s="58"/>
    </row>
    <row r="109" spans="1:19" s="18" customFormat="1" ht="21.9" customHeight="1" x14ac:dyDescent="0.3">
      <c r="A109" s="51" t="s">
        <v>112</v>
      </c>
      <c r="B109" s="42" t="s">
        <v>361</v>
      </c>
      <c r="C109" s="8" t="s">
        <v>21</v>
      </c>
      <c r="D109" s="52">
        <v>1</v>
      </c>
      <c r="E109" s="41">
        <v>885</v>
      </c>
      <c r="F109" s="20"/>
      <c r="G109" s="20">
        <v>0</v>
      </c>
      <c r="H109" s="19">
        <v>45768</v>
      </c>
      <c r="I109" s="19">
        <v>45768</v>
      </c>
      <c r="J109" s="165"/>
      <c r="K109" s="11">
        <v>0</v>
      </c>
      <c r="L109" s="90">
        <f t="shared" si="8"/>
        <v>1</v>
      </c>
      <c r="M109" s="10">
        <f t="shared" si="9"/>
        <v>885</v>
      </c>
      <c r="N109" s="109">
        <v>625.4</v>
      </c>
      <c r="O109" s="54"/>
      <c r="P109" s="133">
        <v>0</v>
      </c>
      <c r="Q109" s="58"/>
      <c r="R109" s="58"/>
      <c r="S109" s="58"/>
    </row>
    <row r="110" spans="1:19" s="18" customFormat="1" ht="21.9" customHeight="1" x14ac:dyDescent="0.3">
      <c r="A110" s="51" t="s">
        <v>112</v>
      </c>
      <c r="B110" s="42" t="s">
        <v>359</v>
      </c>
      <c r="C110" s="8" t="s">
        <v>21</v>
      </c>
      <c r="D110" s="52">
        <v>1</v>
      </c>
      <c r="E110" s="41">
        <v>2973.6</v>
      </c>
      <c r="F110" s="20">
        <v>0</v>
      </c>
      <c r="G110" s="20">
        <v>0</v>
      </c>
      <c r="H110" s="19">
        <v>45554</v>
      </c>
      <c r="I110" s="19">
        <v>45554</v>
      </c>
      <c r="J110" s="165"/>
      <c r="K110" s="11">
        <v>0</v>
      </c>
      <c r="L110" s="90">
        <f t="shared" si="8"/>
        <v>1</v>
      </c>
      <c r="M110" s="10">
        <f t="shared" si="9"/>
        <v>2973.6</v>
      </c>
      <c r="N110" s="109">
        <v>2973.6</v>
      </c>
      <c r="O110" s="54"/>
      <c r="P110" s="133">
        <v>2973.6</v>
      </c>
      <c r="Q110" s="58"/>
      <c r="R110" s="58"/>
      <c r="S110" s="58"/>
    </row>
    <row r="111" spans="1:19" s="45" customFormat="1" ht="21.9" customHeight="1" x14ac:dyDescent="0.3">
      <c r="A111" s="51" t="s">
        <v>114</v>
      </c>
      <c r="B111" s="42" t="s">
        <v>289</v>
      </c>
      <c r="C111" s="21" t="s">
        <v>270</v>
      </c>
      <c r="D111" s="52">
        <v>0</v>
      </c>
      <c r="E111" s="41">
        <v>0</v>
      </c>
      <c r="F111" s="20">
        <v>0</v>
      </c>
      <c r="G111" s="20">
        <v>0</v>
      </c>
      <c r="H111" s="19">
        <v>45092</v>
      </c>
      <c r="I111" s="19">
        <v>45092</v>
      </c>
      <c r="J111" s="165"/>
      <c r="K111" s="11">
        <v>0</v>
      </c>
      <c r="L111" s="90">
        <f t="shared" si="8"/>
        <v>0</v>
      </c>
      <c r="M111" s="10">
        <f t="shared" si="9"/>
        <v>0</v>
      </c>
      <c r="N111" s="109">
        <v>1958.990894175824</v>
      </c>
      <c r="O111" s="55" t="s">
        <v>31</v>
      </c>
      <c r="P111" s="135">
        <v>1469.243170631868</v>
      </c>
      <c r="Q111" s="58"/>
      <c r="R111" s="161"/>
      <c r="S111" s="161"/>
    </row>
    <row r="112" spans="1:19" s="45" customFormat="1" ht="21.9" customHeight="1" x14ac:dyDescent="0.3">
      <c r="A112" s="51" t="s">
        <v>115</v>
      </c>
      <c r="B112" s="42" t="s">
        <v>287</v>
      </c>
      <c r="C112" s="21" t="s">
        <v>26</v>
      </c>
      <c r="D112" s="52">
        <v>93</v>
      </c>
      <c r="E112" s="41">
        <v>455.46522976878674</v>
      </c>
      <c r="F112" s="163">
        <v>0</v>
      </c>
      <c r="G112" s="20">
        <v>0</v>
      </c>
      <c r="H112" s="19">
        <v>45152</v>
      </c>
      <c r="I112" s="19">
        <v>45152</v>
      </c>
      <c r="J112" s="165">
        <f>24+24</f>
        <v>48</v>
      </c>
      <c r="K112" s="11">
        <f t="shared" ref="K112:K168" si="10">+E112/D112*J112</f>
        <v>235.07882826776091</v>
      </c>
      <c r="L112" s="90">
        <f t="shared" si="8"/>
        <v>45</v>
      </c>
      <c r="M112" s="10">
        <f t="shared" si="9"/>
        <v>220.38640150102583</v>
      </c>
      <c r="N112" s="109">
        <v>401.47223967298817</v>
      </c>
      <c r="O112" s="55" t="s">
        <v>31</v>
      </c>
      <c r="P112" s="135">
        <v>122.43846662827883</v>
      </c>
      <c r="Q112" s="58"/>
      <c r="R112" s="161"/>
      <c r="S112" s="161"/>
    </row>
    <row r="113" spans="1:20" s="45" customFormat="1" ht="21.9" customHeight="1" x14ac:dyDescent="0.3">
      <c r="A113" s="51" t="s">
        <v>117</v>
      </c>
      <c r="B113" s="39" t="s">
        <v>288</v>
      </c>
      <c r="C113" s="21" t="s">
        <v>270</v>
      </c>
      <c r="D113" s="52">
        <v>5</v>
      </c>
      <c r="E113" s="41">
        <v>1858.4999999999998</v>
      </c>
      <c r="F113" s="20">
        <v>0</v>
      </c>
      <c r="G113" s="20">
        <v>0</v>
      </c>
      <c r="H113" s="19">
        <v>45768</v>
      </c>
      <c r="I113" s="19">
        <v>45768</v>
      </c>
      <c r="J113" s="165">
        <f>1+1</f>
        <v>2</v>
      </c>
      <c r="K113" s="11">
        <f>+E113/D113*J113</f>
        <v>743.39999999999986</v>
      </c>
      <c r="L113" s="90">
        <f t="shared" si="8"/>
        <v>3</v>
      </c>
      <c r="M113" s="10">
        <f t="shared" si="9"/>
        <v>1115.0999999999999</v>
      </c>
      <c r="N113" s="109">
        <v>762.87</v>
      </c>
      <c r="O113" s="55"/>
      <c r="P113" s="135">
        <v>0</v>
      </c>
      <c r="Q113" s="58"/>
      <c r="R113" s="161"/>
      <c r="S113" s="161"/>
      <c r="T113" s="115"/>
    </row>
    <row r="114" spans="1:20" s="45" customFormat="1" ht="21.9" customHeight="1" x14ac:dyDescent="0.3">
      <c r="A114" s="51" t="s">
        <v>119</v>
      </c>
      <c r="B114" s="42" t="s">
        <v>290</v>
      </c>
      <c r="C114" s="8" t="s">
        <v>26</v>
      </c>
      <c r="D114" s="52">
        <v>31</v>
      </c>
      <c r="E114" s="41">
        <v>115.22699999999679</v>
      </c>
      <c r="F114" s="20">
        <f>100+100</f>
        <v>200</v>
      </c>
      <c r="G114" s="20">
        <f>+K113/F114*F114</f>
        <v>743.39999999999986</v>
      </c>
      <c r="H114" s="51">
        <v>45152</v>
      </c>
      <c r="I114" s="51">
        <v>45152</v>
      </c>
      <c r="J114" s="165">
        <f>35+131+20</f>
        <v>186</v>
      </c>
      <c r="K114" s="11">
        <f>+E114/D114*J114</f>
        <v>691.36199999998075</v>
      </c>
      <c r="L114" s="90">
        <f t="shared" si="8"/>
        <v>45</v>
      </c>
      <c r="M114" s="10">
        <f>+E114+G114-K114</f>
        <v>167.2650000000159</v>
      </c>
      <c r="N114" s="109">
        <v>90.485576403045314</v>
      </c>
      <c r="O114" s="55"/>
      <c r="P114" s="135">
        <v>2.542900000000003</v>
      </c>
      <c r="Q114" s="58"/>
      <c r="R114" s="161"/>
      <c r="S114" s="161"/>
    </row>
    <row r="115" spans="1:20" s="45" customFormat="1" ht="21.9" customHeight="1" x14ac:dyDescent="0.3">
      <c r="A115" s="51" t="s">
        <v>121</v>
      </c>
      <c r="B115" s="42" t="s">
        <v>239</v>
      </c>
      <c r="C115" s="21" t="s">
        <v>241</v>
      </c>
      <c r="D115" s="52">
        <v>24</v>
      </c>
      <c r="E115" s="41">
        <v>7504.7999999999993</v>
      </c>
      <c r="F115" s="20">
        <v>0</v>
      </c>
      <c r="G115" s="20">
        <v>0</v>
      </c>
      <c r="H115" s="19">
        <v>45768</v>
      </c>
      <c r="I115" s="19">
        <v>45768</v>
      </c>
      <c r="J115" s="165">
        <f>11+12+1</f>
        <v>24</v>
      </c>
      <c r="K115" s="11">
        <f>+E115/D115*J115</f>
        <v>7504.7999999999993</v>
      </c>
      <c r="L115" s="90">
        <f t="shared" si="8"/>
        <v>0</v>
      </c>
      <c r="M115" s="10">
        <f t="shared" si="9"/>
        <v>0</v>
      </c>
      <c r="N115" s="109">
        <v>9557.9999999999982</v>
      </c>
      <c r="O115" s="55"/>
      <c r="P115" s="135">
        <v>0</v>
      </c>
      <c r="Q115" s="58"/>
      <c r="R115" s="161"/>
      <c r="S115" s="161"/>
    </row>
    <row r="116" spans="1:20" s="45" customFormat="1" ht="21.9" customHeight="1" x14ac:dyDescent="0.3">
      <c r="A116" s="51" t="s">
        <v>124</v>
      </c>
      <c r="B116" s="42" t="s">
        <v>240</v>
      </c>
      <c r="C116" s="21" t="s">
        <v>241</v>
      </c>
      <c r="D116" s="52">
        <v>22</v>
      </c>
      <c r="E116" s="41">
        <v>9120.255167270403</v>
      </c>
      <c r="F116" s="20">
        <v>0</v>
      </c>
      <c r="G116" s="20">
        <v>0</v>
      </c>
      <c r="H116" s="19">
        <v>45768</v>
      </c>
      <c r="I116" s="19">
        <v>45768</v>
      </c>
      <c r="J116" s="165">
        <f>2</f>
        <v>2</v>
      </c>
      <c r="K116" s="11">
        <f>+E116/D116*J116</f>
        <v>829.11410611549115</v>
      </c>
      <c r="L116" s="90">
        <f t="shared" si="8"/>
        <v>20</v>
      </c>
      <c r="M116" s="10">
        <f t="shared" si="9"/>
        <v>8291.1410611549127</v>
      </c>
      <c r="N116" s="109">
        <v>6854.1973684210525</v>
      </c>
      <c r="O116" s="55"/>
      <c r="P116" s="135">
        <v>5411.2084487534621</v>
      </c>
      <c r="Q116" s="58"/>
      <c r="R116" s="161"/>
      <c r="S116" s="161"/>
    </row>
    <row r="117" spans="1:20" s="45" customFormat="1" ht="21.9" customHeight="1" x14ac:dyDescent="0.3">
      <c r="A117" s="51" t="s">
        <v>125</v>
      </c>
      <c r="B117" s="42" t="s">
        <v>268</v>
      </c>
      <c r="C117" s="21" t="s">
        <v>26</v>
      </c>
      <c r="D117" s="52">
        <v>0</v>
      </c>
      <c r="E117" s="41">
        <v>0</v>
      </c>
      <c r="F117" s="20">
        <v>0</v>
      </c>
      <c r="G117" s="20">
        <v>0</v>
      </c>
      <c r="H117" s="19">
        <v>45152</v>
      </c>
      <c r="I117" s="19">
        <v>45152</v>
      </c>
      <c r="J117" s="165"/>
      <c r="K117" s="11">
        <v>0</v>
      </c>
      <c r="L117" s="90">
        <f t="shared" si="8"/>
        <v>0</v>
      </c>
      <c r="M117" s="10">
        <f t="shared" si="9"/>
        <v>0</v>
      </c>
      <c r="N117" s="109">
        <v>17.700000000000003</v>
      </c>
      <c r="O117" s="55"/>
      <c r="P117" s="135">
        <v>0</v>
      </c>
      <c r="Q117" s="58"/>
      <c r="R117" s="161"/>
      <c r="S117" s="161"/>
    </row>
    <row r="118" spans="1:20" s="45" customFormat="1" ht="21.9" customHeight="1" x14ac:dyDescent="0.3">
      <c r="A118" s="51" t="s">
        <v>126</v>
      </c>
      <c r="B118" s="42" t="s">
        <v>360</v>
      </c>
      <c r="C118" s="21" t="s">
        <v>26</v>
      </c>
      <c r="D118" s="52">
        <v>8</v>
      </c>
      <c r="E118" s="41">
        <v>2546.5344</v>
      </c>
      <c r="F118" s="20">
        <v>0</v>
      </c>
      <c r="G118" s="20">
        <v>0</v>
      </c>
      <c r="H118" s="19">
        <v>45768</v>
      </c>
      <c r="I118" s="19">
        <v>45768</v>
      </c>
      <c r="J118" s="165">
        <v>1</v>
      </c>
      <c r="K118" s="11">
        <f t="shared" si="10"/>
        <v>318.3168</v>
      </c>
      <c r="L118" s="90">
        <f t="shared" si="8"/>
        <v>7</v>
      </c>
      <c r="M118" s="10">
        <f t="shared" si="8"/>
        <v>2228.2175999999999</v>
      </c>
      <c r="N118" s="109">
        <v>1588.7520000000002</v>
      </c>
      <c r="O118" s="55" t="s">
        <v>31</v>
      </c>
      <c r="P118" s="135">
        <v>1059.1680000000001</v>
      </c>
      <c r="Q118" s="58"/>
      <c r="R118" s="161"/>
      <c r="S118" s="161"/>
    </row>
    <row r="119" spans="1:20" s="45" customFormat="1" ht="21.9" customHeight="1" x14ac:dyDescent="0.3">
      <c r="A119" s="51" t="s">
        <v>128</v>
      </c>
      <c r="B119" s="42" t="s">
        <v>113</v>
      </c>
      <c r="C119" s="21" t="s">
        <v>26</v>
      </c>
      <c r="D119" s="52">
        <v>1</v>
      </c>
      <c r="E119" s="41">
        <v>53.052799999999991</v>
      </c>
      <c r="F119" s="20">
        <v>12</v>
      </c>
      <c r="G119" s="20">
        <f>+K118/F119*F119</f>
        <v>318.3168</v>
      </c>
      <c r="H119" s="19">
        <v>45768</v>
      </c>
      <c r="I119" s="19">
        <v>45768</v>
      </c>
      <c r="J119" s="165">
        <f>1+1</f>
        <v>2</v>
      </c>
      <c r="K119" s="11">
        <f>+E119/D119*1+G119/F119*1</f>
        <v>79.579199999999986</v>
      </c>
      <c r="L119" s="90">
        <f t="shared" si="8"/>
        <v>11</v>
      </c>
      <c r="M119" s="10">
        <f t="shared" si="8"/>
        <v>291.79039999999998</v>
      </c>
      <c r="N119" s="109">
        <v>0</v>
      </c>
      <c r="O119" s="55" t="s">
        <v>31</v>
      </c>
      <c r="P119" s="135">
        <v>66.197999999999993</v>
      </c>
      <c r="Q119" s="58"/>
      <c r="R119" s="161"/>
      <c r="S119" s="161"/>
    </row>
    <row r="120" spans="1:20" s="45" customFormat="1" ht="21.9" customHeight="1" x14ac:dyDescent="0.3">
      <c r="A120" s="51" t="s">
        <v>130</v>
      </c>
      <c r="B120" s="42" t="s">
        <v>242</v>
      </c>
      <c r="C120" s="21" t="s">
        <v>275</v>
      </c>
      <c r="D120" s="52">
        <v>0</v>
      </c>
      <c r="E120" s="41">
        <v>0</v>
      </c>
      <c r="F120" s="20">
        <v>0</v>
      </c>
      <c r="G120" s="20">
        <v>0</v>
      </c>
      <c r="H120" s="19">
        <v>45768</v>
      </c>
      <c r="I120" s="19">
        <v>45768</v>
      </c>
      <c r="J120" s="165"/>
      <c r="K120" s="11">
        <v>0</v>
      </c>
      <c r="L120" s="90">
        <f t="shared" si="8"/>
        <v>0</v>
      </c>
      <c r="M120" s="10">
        <f t="shared" si="8"/>
        <v>0</v>
      </c>
      <c r="N120" s="109">
        <v>812.78399999999999</v>
      </c>
      <c r="O120" s="55" t="s">
        <v>31</v>
      </c>
      <c r="P120" s="135">
        <v>0</v>
      </c>
      <c r="Q120" s="58"/>
      <c r="R120" s="161"/>
      <c r="S120" s="161"/>
    </row>
    <row r="121" spans="1:20" s="46" customFormat="1" ht="21.9" customHeight="1" x14ac:dyDescent="0.3">
      <c r="A121" s="51" t="s">
        <v>131</v>
      </c>
      <c r="B121" s="42" t="s">
        <v>116</v>
      </c>
      <c r="C121" s="21" t="s">
        <v>26</v>
      </c>
      <c r="D121" s="52">
        <v>5</v>
      </c>
      <c r="E121" s="41">
        <v>536.4785714285714</v>
      </c>
      <c r="F121" s="20">
        <v>0</v>
      </c>
      <c r="G121" s="20">
        <v>0</v>
      </c>
      <c r="H121" s="19">
        <v>45092</v>
      </c>
      <c r="I121" s="19">
        <v>45092</v>
      </c>
      <c r="J121" s="165">
        <f>1+1</f>
        <v>2</v>
      </c>
      <c r="K121" s="11">
        <f>+E121/D121*J121</f>
        <v>214.59142857142857</v>
      </c>
      <c r="L121" s="90">
        <f t="shared" si="8"/>
        <v>3</v>
      </c>
      <c r="M121" s="10">
        <f t="shared" si="8"/>
        <v>321.88714285714286</v>
      </c>
      <c r="N121" s="109">
        <v>0</v>
      </c>
      <c r="O121" s="56" t="s">
        <v>31</v>
      </c>
      <c r="P121" s="133">
        <v>135.46400000000006</v>
      </c>
      <c r="Q121" s="58"/>
      <c r="R121" s="162"/>
      <c r="S121" s="162"/>
    </row>
    <row r="122" spans="1:20" s="18" customFormat="1" ht="21.9" customHeight="1" x14ac:dyDescent="0.3">
      <c r="A122" s="51" t="s">
        <v>132</v>
      </c>
      <c r="B122" s="39" t="s">
        <v>322</v>
      </c>
      <c r="C122" s="8" t="s">
        <v>118</v>
      </c>
      <c r="D122" s="52">
        <v>1</v>
      </c>
      <c r="E122" s="41">
        <v>62.18</v>
      </c>
      <c r="F122" s="20">
        <v>0</v>
      </c>
      <c r="G122" s="20">
        <v>0</v>
      </c>
      <c r="H122" s="19">
        <v>45092</v>
      </c>
      <c r="I122" s="19">
        <v>45092</v>
      </c>
      <c r="J122" s="165"/>
      <c r="K122" s="11">
        <f t="shared" si="10"/>
        <v>0</v>
      </c>
      <c r="L122" s="90">
        <f t="shared" si="8"/>
        <v>1</v>
      </c>
      <c r="M122" s="10">
        <f t="shared" si="8"/>
        <v>62.18</v>
      </c>
      <c r="N122" s="109">
        <v>62.18</v>
      </c>
      <c r="O122" s="54" t="s">
        <v>31</v>
      </c>
      <c r="P122" s="133">
        <v>62.18</v>
      </c>
      <c r="Q122" s="58"/>
      <c r="R122" s="58"/>
      <c r="S122" s="58"/>
    </row>
    <row r="123" spans="1:20" s="45" customFormat="1" ht="21.9" customHeight="1" x14ac:dyDescent="0.3">
      <c r="A123" s="51" t="s">
        <v>133</v>
      </c>
      <c r="B123" s="42" t="s">
        <v>120</v>
      </c>
      <c r="C123" s="21" t="s">
        <v>118</v>
      </c>
      <c r="D123" s="52">
        <v>3</v>
      </c>
      <c r="E123" s="41">
        <v>800.98500000000001</v>
      </c>
      <c r="F123" s="20">
        <v>0</v>
      </c>
      <c r="G123" s="20">
        <v>0</v>
      </c>
      <c r="H123" s="19">
        <v>45092</v>
      </c>
      <c r="I123" s="19">
        <v>45092</v>
      </c>
      <c r="J123" s="165"/>
      <c r="K123" s="11">
        <f t="shared" si="10"/>
        <v>0</v>
      </c>
      <c r="L123" s="90">
        <f t="shared" si="8"/>
        <v>3</v>
      </c>
      <c r="M123" s="10">
        <f t="shared" si="8"/>
        <v>800.98500000000001</v>
      </c>
      <c r="N123" s="109">
        <v>800.98500000000001</v>
      </c>
      <c r="O123" s="55" t="s">
        <v>31</v>
      </c>
      <c r="P123" s="135">
        <v>800.98500000000001</v>
      </c>
      <c r="Q123" s="58"/>
      <c r="R123" s="161"/>
      <c r="S123" s="161"/>
    </row>
    <row r="124" spans="1:20" s="45" customFormat="1" ht="21.9" customHeight="1" x14ac:dyDescent="0.3">
      <c r="A124" s="51" t="s">
        <v>134</v>
      </c>
      <c r="B124" s="42" t="s">
        <v>122</v>
      </c>
      <c r="C124" s="21" t="s">
        <v>123</v>
      </c>
      <c r="D124" s="52">
        <v>5</v>
      </c>
      <c r="E124" s="41">
        <v>79.324381926683728</v>
      </c>
      <c r="F124" s="20">
        <v>0</v>
      </c>
      <c r="G124" s="20">
        <v>0</v>
      </c>
      <c r="H124" s="19">
        <v>45768</v>
      </c>
      <c r="I124" s="19">
        <v>45768</v>
      </c>
      <c r="J124" s="165">
        <f>3+2</f>
        <v>5</v>
      </c>
      <c r="K124" s="11">
        <f>+E124/D124*J124</f>
        <v>79.324381926683728</v>
      </c>
      <c r="L124" s="90">
        <f t="shared" si="8"/>
        <v>0</v>
      </c>
      <c r="M124" s="10">
        <f t="shared" si="8"/>
        <v>0</v>
      </c>
      <c r="N124" s="109">
        <v>206.29043478260871</v>
      </c>
      <c r="O124" s="55" t="s">
        <v>31</v>
      </c>
      <c r="P124" s="135">
        <v>91.68463768115943</v>
      </c>
      <c r="Q124" s="58"/>
      <c r="R124" s="161"/>
      <c r="S124" s="161"/>
    </row>
    <row r="125" spans="1:20" s="45" customFormat="1" ht="21.9" customHeight="1" x14ac:dyDescent="0.3">
      <c r="A125" s="51" t="s">
        <v>136</v>
      </c>
      <c r="B125" s="42" t="s">
        <v>243</v>
      </c>
      <c r="C125" s="21" t="s">
        <v>123</v>
      </c>
      <c r="D125" s="52">
        <v>12</v>
      </c>
      <c r="E125" s="41">
        <v>412.66</v>
      </c>
      <c r="F125" s="20">
        <v>0</v>
      </c>
      <c r="G125" s="20">
        <v>0</v>
      </c>
      <c r="H125" s="19">
        <v>45768</v>
      </c>
      <c r="I125" s="19">
        <v>45768</v>
      </c>
      <c r="J125" s="165">
        <v>1</v>
      </c>
      <c r="K125" s="11">
        <f t="shared" si="10"/>
        <v>34.388333333333335</v>
      </c>
      <c r="L125" s="90">
        <f t="shared" si="8"/>
        <v>11</v>
      </c>
      <c r="M125" s="10">
        <f t="shared" si="8"/>
        <v>378.2716666666667</v>
      </c>
      <c r="N125" s="109">
        <v>286.74</v>
      </c>
      <c r="O125" s="55"/>
      <c r="P125" s="135">
        <v>254.88</v>
      </c>
      <c r="Q125" s="58"/>
      <c r="R125" s="161"/>
      <c r="S125" s="161"/>
    </row>
    <row r="126" spans="1:20" s="45" customFormat="1" ht="21.9" customHeight="1" x14ac:dyDescent="0.3">
      <c r="A126" s="51" t="s">
        <v>138</v>
      </c>
      <c r="B126" s="42" t="s">
        <v>333</v>
      </c>
      <c r="C126" s="21" t="s">
        <v>123</v>
      </c>
      <c r="D126" s="52">
        <v>10</v>
      </c>
      <c r="E126" s="41">
        <v>534.9636363636364</v>
      </c>
      <c r="F126" s="20">
        <v>0</v>
      </c>
      <c r="G126" s="20">
        <v>0</v>
      </c>
      <c r="H126" s="19">
        <v>45768</v>
      </c>
      <c r="I126" s="19">
        <v>45768</v>
      </c>
      <c r="J126" s="165">
        <v>1</v>
      </c>
      <c r="K126" s="11">
        <f>+E126/D126*J126</f>
        <v>53.49636363636364</v>
      </c>
      <c r="L126" s="90">
        <f t="shared" si="8"/>
        <v>9</v>
      </c>
      <c r="M126" s="10">
        <f t="shared" si="8"/>
        <v>481.46727272727276</v>
      </c>
      <c r="N126" s="109">
        <v>261.85599999999999</v>
      </c>
      <c r="O126" s="55"/>
      <c r="P126" s="135">
        <v>229.124</v>
      </c>
      <c r="Q126" s="58"/>
      <c r="R126" s="161"/>
      <c r="S126" s="161"/>
    </row>
    <row r="127" spans="1:20" s="45" customFormat="1" ht="21.9" customHeight="1" x14ac:dyDescent="0.3">
      <c r="A127" s="51" t="s">
        <v>140</v>
      </c>
      <c r="B127" s="42" t="s">
        <v>276</v>
      </c>
      <c r="C127" s="21" t="s">
        <v>123</v>
      </c>
      <c r="D127" s="52">
        <v>17</v>
      </c>
      <c r="E127" s="41">
        <v>1149.202</v>
      </c>
      <c r="F127" s="20">
        <v>0</v>
      </c>
      <c r="G127" s="20">
        <v>0</v>
      </c>
      <c r="H127" s="19">
        <v>45768</v>
      </c>
      <c r="I127" s="19">
        <v>45768</v>
      </c>
      <c r="J127" s="165"/>
      <c r="K127" s="11">
        <f t="shared" si="10"/>
        <v>0</v>
      </c>
      <c r="L127" s="90">
        <f t="shared" si="8"/>
        <v>17</v>
      </c>
      <c r="M127" s="10">
        <f t="shared" si="8"/>
        <v>1149.202</v>
      </c>
      <c r="N127" s="109">
        <v>582.80200000000002</v>
      </c>
      <c r="O127" s="55"/>
      <c r="P127" s="135">
        <v>582.80200000000002</v>
      </c>
      <c r="Q127" s="58"/>
      <c r="R127" s="161"/>
      <c r="S127" s="161"/>
    </row>
    <row r="128" spans="1:20" s="45" customFormat="1" ht="21.9" customHeight="1" x14ac:dyDescent="0.3">
      <c r="A128" s="51" t="s">
        <v>321</v>
      </c>
      <c r="B128" s="42" t="s">
        <v>334</v>
      </c>
      <c r="C128" s="21" t="s">
        <v>123</v>
      </c>
      <c r="D128" s="52">
        <v>7</v>
      </c>
      <c r="E128" s="41">
        <v>850.66527777777787</v>
      </c>
      <c r="F128" s="20">
        <v>0</v>
      </c>
      <c r="G128" s="20">
        <v>0</v>
      </c>
      <c r="H128" s="19">
        <v>45768</v>
      </c>
      <c r="I128" s="19">
        <v>45768</v>
      </c>
      <c r="J128" s="165">
        <v>1</v>
      </c>
      <c r="K128" s="11">
        <f>+E128/D128*J128</f>
        <v>121.52361111111112</v>
      </c>
      <c r="L128" s="90">
        <f t="shared" si="8"/>
        <v>6</v>
      </c>
      <c r="M128" s="10">
        <f t="shared" si="8"/>
        <v>729.14166666666677</v>
      </c>
      <c r="N128" s="109">
        <v>650.9666666666667</v>
      </c>
      <c r="O128" s="55"/>
      <c r="P128" s="135">
        <v>325.48333333333335</v>
      </c>
      <c r="Q128" s="58"/>
      <c r="R128" s="161"/>
      <c r="S128" s="161"/>
    </row>
    <row r="129" spans="1:19" s="45" customFormat="1" ht="21.9" customHeight="1" x14ac:dyDescent="0.3">
      <c r="A129" s="51" t="s">
        <v>143</v>
      </c>
      <c r="B129" s="42" t="s">
        <v>320</v>
      </c>
      <c r="C129" s="21" t="s">
        <v>123</v>
      </c>
      <c r="D129" s="52">
        <v>5</v>
      </c>
      <c r="E129" s="41">
        <v>413.3056640625</v>
      </c>
      <c r="F129" s="20">
        <v>0</v>
      </c>
      <c r="G129" s="20">
        <v>0</v>
      </c>
      <c r="H129" s="19">
        <v>45092</v>
      </c>
      <c r="I129" s="19">
        <v>45092</v>
      </c>
      <c r="J129" s="165">
        <v>1</v>
      </c>
      <c r="K129" s="11">
        <f>+E129/D129*J129</f>
        <v>82.6611328125</v>
      </c>
      <c r="L129" s="90">
        <f t="shared" si="8"/>
        <v>4</v>
      </c>
      <c r="M129" s="10">
        <f t="shared" si="8"/>
        <v>330.64453125</v>
      </c>
      <c r="N129" s="109">
        <v>2231.8505859375</v>
      </c>
      <c r="O129" s="55" t="s">
        <v>31</v>
      </c>
      <c r="P129" s="135">
        <v>1487.900390625</v>
      </c>
      <c r="Q129" s="58"/>
      <c r="R129" s="161"/>
      <c r="S129" s="161"/>
    </row>
    <row r="130" spans="1:19" s="45" customFormat="1" ht="21.9" customHeight="1" x14ac:dyDescent="0.3">
      <c r="A130" s="51" t="s">
        <v>145</v>
      </c>
      <c r="B130" s="42" t="s">
        <v>323</v>
      </c>
      <c r="C130" s="21" t="s">
        <v>123</v>
      </c>
      <c r="D130" s="52">
        <v>0</v>
      </c>
      <c r="E130" s="41">
        <v>0</v>
      </c>
      <c r="F130" s="20">
        <v>0</v>
      </c>
      <c r="G130" s="20">
        <v>0</v>
      </c>
      <c r="H130" s="19">
        <v>45093</v>
      </c>
      <c r="I130" s="19">
        <v>45093</v>
      </c>
      <c r="J130" s="165"/>
      <c r="K130" s="11">
        <v>0</v>
      </c>
      <c r="L130" s="90">
        <f t="shared" si="8"/>
        <v>0</v>
      </c>
      <c r="M130" s="10">
        <f t="shared" si="8"/>
        <v>0</v>
      </c>
      <c r="N130" s="109">
        <v>82.66</v>
      </c>
      <c r="O130" s="55"/>
      <c r="P130" s="135">
        <v>0</v>
      </c>
      <c r="Q130" s="58"/>
      <c r="R130" s="161"/>
      <c r="S130" s="161"/>
    </row>
    <row r="131" spans="1:19" s="45" customFormat="1" ht="21.9" customHeight="1" x14ac:dyDescent="0.3">
      <c r="A131" s="51" t="s">
        <v>147</v>
      </c>
      <c r="B131" s="42" t="s">
        <v>127</v>
      </c>
      <c r="C131" s="21" t="s">
        <v>26</v>
      </c>
      <c r="D131" s="52">
        <v>6</v>
      </c>
      <c r="E131" s="41">
        <v>1143.42</v>
      </c>
      <c r="F131" s="20">
        <v>0</v>
      </c>
      <c r="G131" s="20">
        <v>0</v>
      </c>
      <c r="H131" s="19">
        <v>45092</v>
      </c>
      <c r="I131" s="19">
        <v>45092</v>
      </c>
      <c r="J131" s="165"/>
      <c r="K131" s="11">
        <f t="shared" si="10"/>
        <v>0</v>
      </c>
      <c r="L131" s="90">
        <f t="shared" si="8"/>
        <v>6</v>
      </c>
      <c r="M131" s="10">
        <f t="shared" si="8"/>
        <v>1143.42</v>
      </c>
      <c r="N131" s="109">
        <v>332.76</v>
      </c>
      <c r="O131" s="55" t="s">
        <v>31</v>
      </c>
      <c r="P131" s="135">
        <v>110.91999999999999</v>
      </c>
      <c r="Q131" s="58"/>
      <c r="R131" s="161"/>
      <c r="S131" s="161"/>
    </row>
    <row r="132" spans="1:19" s="45" customFormat="1" ht="21.9" customHeight="1" x14ac:dyDescent="0.3">
      <c r="A132" s="51" t="s">
        <v>149</v>
      </c>
      <c r="B132" s="42" t="s">
        <v>252</v>
      </c>
      <c r="C132" s="21" t="s">
        <v>26</v>
      </c>
      <c r="D132" s="52">
        <v>1</v>
      </c>
      <c r="E132" s="41">
        <v>867.63</v>
      </c>
      <c r="F132" s="20">
        <v>0</v>
      </c>
      <c r="G132" s="20">
        <v>0</v>
      </c>
      <c r="H132" s="19">
        <v>45152</v>
      </c>
      <c r="I132" s="19">
        <v>45152</v>
      </c>
      <c r="J132" s="165"/>
      <c r="K132" s="11">
        <f t="shared" si="10"/>
        <v>0</v>
      </c>
      <c r="L132" s="90">
        <f t="shared" si="8"/>
        <v>1</v>
      </c>
      <c r="M132" s="10">
        <f t="shared" si="8"/>
        <v>867.63</v>
      </c>
      <c r="N132" s="109">
        <v>1735.26</v>
      </c>
      <c r="O132" s="55"/>
      <c r="P132" s="135">
        <v>867.63</v>
      </c>
      <c r="Q132" s="58"/>
      <c r="R132" s="161"/>
      <c r="S132" s="161"/>
    </row>
    <row r="133" spans="1:19" s="45" customFormat="1" ht="21.9" customHeight="1" x14ac:dyDescent="0.3">
      <c r="A133" s="51" t="s">
        <v>151</v>
      </c>
      <c r="B133" s="42" t="s">
        <v>251</v>
      </c>
      <c r="C133" s="21" t="s">
        <v>26</v>
      </c>
      <c r="D133" s="52">
        <v>5</v>
      </c>
      <c r="E133" s="41">
        <v>187.42263544536274</v>
      </c>
      <c r="F133" s="20">
        <v>0</v>
      </c>
      <c r="G133" s="20">
        <v>0</v>
      </c>
      <c r="H133" s="19">
        <v>45152</v>
      </c>
      <c r="I133" s="19">
        <v>45152</v>
      </c>
      <c r="J133" s="165">
        <f>2+1</f>
        <v>3</v>
      </c>
      <c r="K133" s="11">
        <f t="shared" si="10"/>
        <v>112.45358126721766</v>
      </c>
      <c r="L133" s="90">
        <f t="shared" si="8"/>
        <v>2</v>
      </c>
      <c r="M133" s="10">
        <f t="shared" si="8"/>
        <v>74.969054178145086</v>
      </c>
      <c r="N133" s="109">
        <v>524.96818181818173</v>
      </c>
      <c r="O133" s="55"/>
      <c r="P133" s="135">
        <v>174.98939393939389</v>
      </c>
      <c r="Q133" s="58"/>
      <c r="R133" s="161"/>
      <c r="S133" s="161"/>
    </row>
    <row r="134" spans="1:19" s="45" customFormat="1" ht="21.9" customHeight="1" x14ac:dyDescent="0.3">
      <c r="A134" s="51" t="s">
        <v>152</v>
      </c>
      <c r="B134" s="42" t="s">
        <v>129</v>
      </c>
      <c r="C134" s="21" t="s">
        <v>21</v>
      </c>
      <c r="D134" s="52">
        <v>0</v>
      </c>
      <c r="E134" s="41">
        <v>0</v>
      </c>
      <c r="F134" s="20">
        <v>0</v>
      </c>
      <c r="G134" s="20">
        <v>0</v>
      </c>
      <c r="H134" s="19">
        <v>45152</v>
      </c>
      <c r="I134" s="19">
        <v>45152</v>
      </c>
      <c r="J134" s="165"/>
      <c r="K134" s="11">
        <v>0</v>
      </c>
      <c r="L134" s="90">
        <f t="shared" si="8"/>
        <v>0</v>
      </c>
      <c r="M134" s="10">
        <f>+E134+G134-K134</f>
        <v>0</v>
      </c>
      <c r="N134" s="109">
        <v>372.31578947368428</v>
      </c>
      <c r="O134" s="55"/>
      <c r="P134" s="135">
        <v>82.73684210526315</v>
      </c>
      <c r="Q134" s="58"/>
      <c r="R134" s="161"/>
      <c r="S134" s="161"/>
    </row>
    <row r="135" spans="1:19" s="45" customFormat="1" ht="21.9" customHeight="1" x14ac:dyDescent="0.3">
      <c r="A135" s="51" t="s">
        <v>154</v>
      </c>
      <c r="B135" s="42" t="s">
        <v>327</v>
      </c>
      <c r="C135" s="21" t="s">
        <v>26</v>
      </c>
      <c r="D135" s="52">
        <v>6</v>
      </c>
      <c r="E135" s="41">
        <v>20.626794258373216</v>
      </c>
      <c r="F135" s="20">
        <v>0</v>
      </c>
      <c r="G135" s="20">
        <v>0</v>
      </c>
      <c r="H135" s="19">
        <v>45092</v>
      </c>
      <c r="I135" s="19">
        <v>45092</v>
      </c>
      <c r="J135" s="165">
        <v>6</v>
      </c>
      <c r="K135" s="11">
        <f t="shared" si="10"/>
        <v>20.626794258373216</v>
      </c>
      <c r="L135" s="90">
        <f t="shared" si="8"/>
        <v>0</v>
      </c>
      <c r="M135" s="10">
        <f t="shared" si="8"/>
        <v>0</v>
      </c>
      <c r="N135" s="109">
        <v>24.225358851674642</v>
      </c>
      <c r="O135" s="55"/>
      <c r="P135" s="135">
        <v>20.626794258373216</v>
      </c>
      <c r="Q135" s="58"/>
      <c r="R135" s="161"/>
      <c r="S135" s="161"/>
    </row>
    <row r="136" spans="1:19" s="45" customFormat="1" ht="21.9" customHeight="1" x14ac:dyDescent="0.3">
      <c r="A136" s="51" t="s">
        <v>156</v>
      </c>
      <c r="B136" s="42" t="s">
        <v>271</v>
      </c>
      <c r="C136" s="21" t="s">
        <v>21</v>
      </c>
      <c r="D136" s="52">
        <v>0</v>
      </c>
      <c r="E136" s="41">
        <v>0</v>
      </c>
      <c r="F136" s="20">
        <v>0</v>
      </c>
      <c r="G136" s="20">
        <v>0</v>
      </c>
      <c r="H136" s="19">
        <v>45768</v>
      </c>
      <c r="I136" s="19">
        <v>45768</v>
      </c>
      <c r="J136" s="165"/>
      <c r="K136" s="11"/>
      <c r="L136" s="90">
        <f t="shared" si="8"/>
        <v>0</v>
      </c>
      <c r="M136" s="10">
        <f t="shared" si="8"/>
        <v>0</v>
      </c>
      <c r="N136" s="109">
        <v>1004.6888888888889</v>
      </c>
      <c r="O136" s="55"/>
      <c r="P136" s="135">
        <v>71.763492063492066</v>
      </c>
      <c r="Q136" s="58"/>
      <c r="R136" s="161"/>
      <c r="S136" s="161"/>
    </row>
    <row r="137" spans="1:19" s="45" customFormat="1" ht="21.75" customHeight="1" x14ac:dyDescent="0.3">
      <c r="A137" s="51" t="s">
        <v>158</v>
      </c>
      <c r="B137" s="42" t="s">
        <v>285</v>
      </c>
      <c r="C137" s="21" t="s">
        <v>26</v>
      </c>
      <c r="D137" s="52">
        <v>1</v>
      </c>
      <c r="E137" s="41">
        <v>11.25</v>
      </c>
      <c r="F137" s="20">
        <v>0</v>
      </c>
      <c r="G137" s="20"/>
      <c r="H137" s="19">
        <v>45092</v>
      </c>
      <c r="I137" s="19">
        <v>45092</v>
      </c>
      <c r="J137" s="165">
        <v>1</v>
      </c>
      <c r="K137" s="11">
        <f>+E137/D137*J137</f>
        <v>11.25</v>
      </c>
      <c r="L137" s="90">
        <f>+D137+F137-J137</f>
        <v>0</v>
      </c>
      <c r="M137" s="10">
        <f t="shared" si="8"/>
        <v>0</v>
      </c>
      <c r="N137" s="109">
        <v>28.776010101010115</v>
      </c>
      <c r="O137" s="55"/>
      <c r="P137" s="135">
        <v>0</v>
      </c>
      <c r="Q137" s="58"/>
      <c r="R137" s="161"/>
      <c r="S137" s="161"/>
    </row>
    <row r="138" spans="1:19" s="45" customFormat="1" ht="21.9" customHeight="1" x14ac:dyDescent="0.3">
      <c r="A138" s="51" t="s">
        <v>160</v>
      </c>
      <c r="B138" s="42" t="s">
        <v>272</v>
      </c>
      <c r="C138" s="21" t="s">
        <v>21</v>
      </c>
      <c r="D138" s="52">
        <v>7</v>
      </c>
      <c r="E138" s="41">
        <v>750.32999999999993</v>
      </c>
      <c r="F138" s="20">
        <v>0</v>
      </c>
      <c r="G138" s="20">
        <v>0</v>
      </c>
      <c r="H138" s="19">
        <v>45152</v>
      </c>
      <c r="I138" s="19">
        <v>45152</v>
      </c>
      <c r="J138" s="165">
        <f>4+1</f>
        <v>5</v>
      </c>
      <c r="K138" s="11">
        <f t="shared" si="10"/>
        <v>535.94999999999993</v>
      </c>
      <c r="L138" s="90">
        <f t="shared" si="8"/>
        <v>2</v>
      </c>
      <c r="M138" s="10">
        <f t="shared" si="8"/>
        <v>214.38</v>
      </c>
      <c r="N138" s="109">
        <v>857.52</v>
      </c>
      <c r="O138" s="55"/>
      <c r="P138" s="135">
        <v>750.32999999999993</v>
      </c>
      <c r="Q138" s="58"/>
      <c r="R138" s="161"/>
      <c r="S138" s="161"/>
    </row>
    <row r="139" spans="1:19" s="45" customFormat="1" ht="21.9" customHeight="1" x14ac:dyDescent="0.3">
      <c r="A139" s="51" t="s">
        <v>162</v>
      </c>
      <c r="B139" s="42" t="s">
        <v>286</v>
      </c>
      <c r="C139" s="21" t="s">
        <v>26</v>
      </c>
      <c r="D139" s="52">
        <v>7</v>
      </c>
      <c r="E139" s="41">
        <v>62.527500000000003</v>
      </c>
      <c r="F139" s="20">
        <v>12</v>
      </c>
      <c r="G139" s="20">
        <f>107.19/12*12</f>
        <v>107.19</v>
      </c>
      <c r="H139" s="19">
        <v>45152</v>
      </c>
      <c r="I139" s="19">
        <v>45152</v>
      </c>
      <c r="J139" s="165">
        <f>7+5</f>
        <v>12</v>
      </c>
      <c r="K139" s="11">
        <f t="shared" si="10"/>
        <v>107.19000000000001</v>
      </c>
      <c r="L139" s="90">
        <f t="shared" si="8"/>
        <v>7</v>
      </c>
      <c r="M139" s="10">
        <f t="shared" si="8"/>
        <v>62.527499999999989</v>
      </c>
      <c r="N139" s="109">
        <v>15.599999999999998</v>
      </c>
      <c r="O139" s="55"/>
      <c r="P139" s="135">
        <v>62.527500000000003</v>
      </c>
      <c r="Q139" s="58"/>
      <c r="R139" s="161"/>
      <c r="S139" s="161"/>
    </row>
    <row r="140" spans="1:19" s="45" customFormat="1" ht="21.9" customHeight="1" x14ac:dyDescent="0.3">
      <c r="A140" s="51" t="s">
        <v>164</v>
      </c>
      <c r="B140" s="42" t="s">
        <v>273</v>
      </c>
      <c r="C140" s="21" t="s">
        <v>21</v>
      </c>
      <c r="D140" s="52">
        <v>1</v>
      </c>
      <c r="E140" s="41">
        <v>93.6</v>
      </c>
      <c r="F140" s="20">
        <v>0</v>
      </c>
      <c r="G140" s="20">
        <v>0</v>
      </c>
      <c r="H140" s="19">
        <v>45152</v>
      </c>
      <c r="I140" s="19">
        <v>45152</v>
      </c>
      <c r="J140" s="165"/>
      <c r="K140" s="11">
        <f t="shared" si="10"/>
        <v>0</v>
      </c>
      <c r="L140" s="90">
        <f t="shared" si="8"/>
        <v>1</v>
      </c>
      <c r="M140" s="10">
        <f t="shared" si="8"/>
        <v>93.6</v>
      </c>
      <c r="N140" s="109">
        <v>187.2</v>
      </c>
      <c r="O140" s="55"/>
      <c r="P140" s="135">
        <v>93.6</v>
      </c>
      <c r="Q140" s="58"/>
      <c r="R140" s="161"/>
      <c r="S140" s="161"/>
    </row>
    <row r="141" spans="1:19" s="45" customFormat="1" ht="21.9" customHeight="1" x14ac:dyDescent="0.3">
      <c r="A141" s="51"/>
      <c r="B141" s="42" t="s">
        <v>378</v>
      </c>
      <c r="C141" s="21" t="s">
        <v>26</v>
      </c>
      <c r="D141" s="52">
        <v>10</v>
      </c>
      <c r="E141" s="41">
        <v>78</v>
      </c>
      <c r="F141" s="20">
        <v>0</v>
      </c>
      <c r="G141" s="20">
        <v>0</v>
      </c>
      <c r="H141" s="19">
        <v>45152</v>
      </c>
      <c r="I141" s="19">
        <v>45152</v>
      </c>
      <c r="J141" s="165">
        <v>3</v>
      </c>
      <c r="K141" s="11">
        <f t="shared" si="10"/>
        <v>23.4</v>
      </c>
      <c r="L141" s="90">
        <f t="shared" si="8"/>
        <v>7</v>
      </c>
      <c r="M141" s="10">
        <f t="shared" si="8"/>
        <v>54.6</v>
      </c>
      <c r="N141" s="109"/>
      <c r="O141" s="55"/>
      <c r="P141" s="135">
        <v>78</v>
      </c>
      <c r="Q141" s="58"/>
      <c r="R141" s="161"/>
      <c r="S141" s="161"/>
    </row>
    <row r="142" spans="1:19" s="45" customFormat="1" ht="21.9" customHeight="1" x14ac:dyDescent="0.3">
      <c r="A142" s="51" t="s">
        <v>166</v>
      </c>
      <c r="B142" s="42" t="s">
        <v>329</v>
      </c>
      <c r="C142" s="21" t="s">
        <v>26</v>
      </c>
      <c r="D142" s="52">
        <v>1</v>
      </c>
      <c r="E142" s="41">
        <v>2193.75</v>
      </c>
      <c r="F142" s="20">
        <v>0</v>
      </c>
      <c r="G142" s="20">
        <v>0</v>
      </c>
      <c r="H142" s="19" t="s">
        <v>330</v>
      </c>
      <c r="I142" s="19" t="s">
        <v>330</v>
      </c>
      <c r="J142" s="165"/>
      <c r="K142" s="11">
        <f t="shared" si="10"/>
        <v>0</v>
      </c>
      <c r="L142" s="90">
        <f t="shared" si="8"/>
        <v>1</v>
      </c>
      <c r="M142" s="10">
        <f t="shared" si="8"/>
        <v>2193.75</v>
      </c>
      <c r="N142" s="109">
        <v>2193.75</v>
      </c>
      <c r="O142" s="55"/>
      <c r="P142" s="135">
        <v>2193.75</v>
      </c>
      <c r="Q142" s="58"/>
      <c r="R142" s="161"/>
      <c r="S142" s="161"/>
    </row>
    <row r="143" spans="1:19" s="45" customFormat="1" ht="21.9" customHeight="1" x14ac:dyDescent="0.3">
      <c r="A143" s="51" t="s">
        <v>168</v>
      </c>
      <c r="B143" s="42" t="s">
        <v>267</v>
      </c>
      <c r="C143" s="21" t="s">
        <v>26</v>
      </c>
      <c r="D143" s="52">
        <v>15</v>
      </c>
      <c r="E143" s="41">
        <v>218.22763636363635</v>
      </c>
      <c r="F143" s="20">
        <v>0</v>
      </c>
      <c r="G143" s="20">
        <v>0</v>
      </c>
      <c r="H143" s="19">
        <v>45768</v>
      </c>
      <c r="I143" s="19">
        <v>45768</v>
      </c>
      <c r="J143" s="165">
        <v>1</v>
      </c>
      <c r="K143" s="11">
        <f t="shared" si="10"/>
        <v>14.548509090909089</v>
      </c>
      <c r="L143" s="90">
        <f t="shared" si="8"/>
        <v>14</v>
      </c>
      <c r="M143" s="10">
        <f t="shared" si="8"/>
        <v>203.67912727272727</v>
      </c>
      <c r="N143" s="109">
        <v>50.389333333333333</v>
      </c>
      <c r="O143" s="55"/>
      <c r="P143" s="135">
        <v>41.227636363636364</v>
      </c>
      <c r="Q143" s="58"/>
      <c r="R143" s="161"/>
      <c r="S143" s="161"/>
    </row>
    <row r="144" spans="1:19" s="45" customFormat="1" ht="21.75" customHeight="1" x14ac:dyDescent="0.3">
      <c r="A144" s="51" t="s">
        <v>169</v>
      </c>
      <c r="B144" s="42" t="s">
        <v>362</v>
      </c>
      <c r="C144" s="21" t="s">
        <v>123</v>
      </c>
      <c r="D144" s="52">
        <v>15</v>
      </c>
      <c r="E144" s="41">
        <v>489.36762110726636</v>
      </c>
      <c r="F144" s="20">
        <v>0</v>
      </c>
      <c r="G144" s="20">
        <v>0</v>
      </c>
      <c r="H144" s="19">
        <v>45768</v>
      </c>
      <c r="I144" s="19">
        <v>45768</v>
      </c>
      <c r="J144" s="165">
        <v>2</v>
      </c>
      <c r="K144" s="11">
        <f>+E144/D144*J144</f>
        <v>65.249016147635515</v>
      </c>
      <c r="L144" s="90">
        <f t="shared" si="8"/>
        <v>13</v>
      </c>
      <c r="M144" s="10">
        <f t="shared" si="8"/>
        <v>424.11860495963083</v>
      </c>
      <c r="N144" s="109">
        <v>474.17116666666669</v>
      </c>
      <c r="O144" s="55"/>
      <c r="P144" s="135">
        <v>362.60148039215687</v>
      </c>
      <c r="Q144" s="58"/>
      <c r="R144" s="161"/>
      <c r="S144" s="161"/>
    </row>
    <row r="145" spans="1:19" s="45" customFormat="1" ht="21.9" customHeight="1" x14ac:dyDescent="0.3">
      <c r="A145" s="51" t="s">
        <v>171</v>
      </c>
      <c r="B145" s="42" t="s">
        <v>135</v>
      </c>
      <c r="C145" s="21" t="s">
        <v>123</v>
      </c>
      <c r="D145" s="52">
        <v>6</v>
      </c>
      <c r="E145" s="41">
        <v>514.21777777777777</v>
      </c>
      <c r="F145" s="20">
        <v>0</v>
      </c>
      <c r="G145" s="20">
        <v>0</v>
      </c>
      <c r="H145" s="19">
        <v>45768</v>
      </c>
      <c r="I145" s="19">
        <v>45768</v>
      </c>
      <c r="J145" s="165">
        <v>4</v>
      </c>
      <c r="K145" s="11">
        <f>+E145/D145*J145</f>
        <v>342.81185185185183</v>
      </c>
      <c r="L145" s="90">
        <f t="shared" si="8"/>
        <v>2</v>
      </c>
      <c r="M145" s="10">
        <f t="shared" si="8"/>
        <v>171.40592592592594</v>
      </c>
      <c r="N145" s="109">
        <v>227.74</v>
      </c>
      <c r="O145" s="55"/>
      <c r="P145" s="135">
        <v>189.78333333333333</v>
      </c>
      <c r="Q145" s="58"/>
      <c r="R145" s="161"/>
      <c r="S145" s="161"/>
    </row>
    <row r="146" spans="1:19" s="18" customFormat="1" ht="21.9" customHeight="1" x14ac:dyDescent="0.3">
      <c r="A146" s="51" t="s">
        <v>173</v>
      </c>
      <c r="B146" s="42" t="s">
        <v>137</v>
      </c>
      <c r="C146" s="21" t="s">
        <v>26</v>
      </c>
      <c r="D146" s="52">
        <v>4</v>
      </c>
      <c r="E146" s="41">
        <v>18880</v>
      </c>
      <c r="F146" s="20"/>
      <c r="G146" s="20"/>
      <c r="H146" s="51">
        <v>45820</v>
      </c>
      <c r="I146" s="51">
        <v>45820</v>
      </c>
      <c r="J146" s="165">
        <v>1</v>
      </c>
      <c r="K146" s="11">
        <f>+E146/D146*J146</f>
        <v>4720</v>
      </c>
      <c r="L146" s="90">
        <f t="shared" si="8"/>
        <v>3</v>
      </c>
      <c r="M146" s="10">
        <f t="shared" si="8"/>
        <v>14160</v>
      </c>
      <c r="N146" s="109">
        <v>11095.7</v>
      </c>
      <c r="O146" s="54" t="s">
        <v>31</v>
      </c>
      <c r="P146" s="133">
        <v>0</v>
      </c>
      <c r="Q146" s="58"/>
      <c r="R146" s="58"/>
      <c r="S146" s="58"/>
    </row>
    <row r="147" spans="1:19" s="45" customFormat="1" ht="21.9" customHeight="1" x14ac:dyDescent="0.3">
      <c r="A147" s="51" t="s">
        <v>175</v>
      </c>
      <c r="B147" s="42" t="s">
        <v>139</v>
      </c>
      <c r="C147" s="21" t="s">
        <v>26</v>
      </c>
      <c r="D147" s="52">
        <v>3</v>
      </c>
      <c r="E147" s="41">
        <v>15930</v>
      </c>
      <c r="F147" s="20"/>
      <c r="G147" s="20"/>
      <c r="H147" s="51">
        <v>45820</v>
      </c>
      <c r="I147" s="51">
        <v>45820</v>
      </c>
      <c r="J147" s="165"/>
      <c r="K147" s="11">
        <v>0</v>
      </c>
      <c r="L147" s="90">
        <f t="shared" si="8"/>
        <v>3</v>
      </c>
      <c r="M147" s="10">
        <f t="shared" si="8"/>
        <v>15930</v>
      </c>
      <c r="N147" s="109">
        <v>6491.02</v>
      </c>
      <c r="O147" s="55"/>
      <c r="P147" s="135">
        <v>0</v>
      </c>
      <c r="Q147" s="58"/>
      <c r="R147" s="161"/>
      <c r="S147" s="161"/>
    </row>
    <row r="148" spans="1:19" s="45" customFormat="1" ht="21.9" customHeight="1" x14ac:dyDescent="0.3">
      <c r="A148" s="51" t="s">
        <v>176</v>
      </c>
      <c r="B148" s="42" t="s">
        <v>141</v>
      </c>
      <c r="C148" s="21" t="s">
        <v>26</v>
      </c>
      <c r="D148" s="52">
        <v>0</v>
      </c>
      <c r="E148" s="41">
        <v>0</v>
      </c>
      <c r="F148" s="20"/>
      <c r="G148" s="20"/>
      <c r="H148" s="19">
        <v>45092</v>
      </c>
      <c r="I148" s="19">
        <v>45092</v>
      </c>
      <c r="J148" s="165"/>
      <c r="K148" s="11">
        <v>0</v>
      </c>
      <c r="L148" s="90">
        <f t="shared" si="8"/>
        <v>0</v>
      </c>
      <c r="M148" s="10">
        <f t="shared" si="8"/>
        <v>0</v>
      </c>
      <c r="N148" s="109">
        <v>5610.9</v>
      </c>
      <c r="O148" s="55"/>
      <c r="P148" s="135">
        <v>0</v>
      </c>
      <c r="Q148" s="58"/>
      <c r="R148" s="161"/>
      <c r="S148" s="161"/>
    </row>
    <row r="149" spans="1:19" s="45" customFormat="1" ht="21.9" customHeight="1" x14ac:dyDescent="0.3">
      <c r="A149" s="51" t="s">
        <v>178</v>
      </c>
      <c r="B149" s="42" t="s">
        <v>142</v>
      </c>
      <c r="C149" s="21" t="s">
        <v>26</v>
      </c>
      <c r="D149" s="52">
        <v>1</v>
      </c>
      <c r="E149" s="41">
        <v>11239.5</v>
      </c>
      <c r="F149" s="20"/>
      <c r="G149" s="20"/>
      <c r="H149" s="19">
        <v>45092</v>
      </c>
      <c r="I149" s="19">
        <v>45092</v>
      </c>
      <c r="J149" s="165"/>
      <c r="K149" s="11">
        <f t="shared" si="10"/>
        <v>0</v>
      </c>
      <c r="L149" s="90">
        <f t="shared" si="8"/>
        <v>1</v>
      </c>
      <c r="M149" s="10">
        <f t="shared" si="8"/>
        <v>11239.5</v>
      </c>
      <c r="N149" s="109">
        <v>11239.5</v>
      </c>
      <c r="O149" s="55"/>
      <c r="P149" s="135">
        <v>11239.5</v>
      </c>
      <c r="Q149" s="58"/>
      <c r="R149" s="161"/>
      <c r="S149" s="161"/>
    </row>
    <row r="150" spans="1:19" s="45" customFormat="1" ht="21.9" customHeight="1" x14ac:dyDescent="0.3">
      <c r="A150" s="51" t="s">
        <v>180</v>
      </c>
      <c r="B150" s="42" t="s">
        <v>144</v>
      </c>
      <c r="C150" s="21" t="s">
        <v>26</v>
      </c>
      <c r="D150" s="52">
        <v>1</v>
      </c>
      <c r="E150" s="41">
        <v>6669.9971999999998</v>
      </c>
      <c r="F150" s="20"/>
      <c r="G150" s="20"/>
      <c r="H150" s="19">
        <v>45092</v>
      </c>
      <c r="I150" s="19">
        <v>45092</v>
      </c>
      <c r="J150" s="165"/>
      <c r="K150" s="11">
        <f t="shared" si="10"/>
        <v>0</v>
      </c>
      <c r="L150" s="90">
        <f t="shared" si="8"/>
        <v>1</v>
      </c>
      <c r="M150" s="10">
        <f t="shared" si="8"/>
        <v>6669.9971999999998</v>
      </c>
      <c r="N150" s="109">
        <v>6669.9971999999998</v>
      </c>
      <c r="O150" s="55"/>
      <c r="P150" s="135">
        <v>6669.9971999999998</v>
      </c>
      <c r="Q150" s="58"/>
      <c r="R150" s="161"/>
      <c r="S150" s="161"/>
    </row>
    <row r="151" spans="1:19" s="45" customFormat="1" ht="21.9" customHeight="1" x14ac:dyDescent="0.3">
      <c r="A151" s="51" t="s">
        <v>182</v>
      </c>
      <c r="B151" s="42" t="s">
        <v>376</v>
      </c>
      <c r="C151" s="21" t="s">
        <v>26</v>
      </c>
      <c r="D151" s="52">
        <v>1</v>
      </c>
      <c r="E151" s="41">
        <v>33.5</v>
      </c>
      <c r="F151" s="20"/>
      <c r="G151" s="20"/>
      <c r="H151" s="19">
        <v>45152</v>
      </c>
      <c r="I151" s="19">
        <v>45152</v>
      </c>
      <c r="J151" s="165"/>
      <c r="K151" s="11">
        <f t="shared" si="10"/>
        <v>0</v>
      </c>
      <c r="L151" s="90">
        <f t="shared" si="8"/>
        <v>1</v>
      </c>
      <c r="M151" s="10">
        <f t="shared" si="8"/>
        <v>33.5</v>
      </c>
      <c r="N151" s="109">
        <v>33.5</v>
      </c>
      <c r="O151" s="55"/>
      <c r="P151" s="135">
        <v>33.5</v>
      </c>
      <c r="Q151" s="58"/>
      <c r="R151" s="161"/>
      <c r="S151" s="161"/>
    </row>
    <row r="152" spans="1:19" s="45" customFormat="1" ht="21.9" customHeight="1" x14ac:dyDescent="0.3">
      <c r="A152" s="51" t="s">
        <v>183</v>
      </c>
      <c r="B152" s="42" t="s">
        <v>146</v>
      </c>
      <c r="C152" s="21" t="s">
        <v>26</v>
      </c>
      <c r="D152" s="52">
        <v>4</v>
      </c>
      <c r="E152" s="41">
        <v>2586.5599999999995</v>
      </c>
      <c r="F152" s="20"/>
      <c r="G152" s="20"/>
      <c r="H152" s="19">
        <v>45768</v>
      </c>
      <c r="I152" s="19">
        <v>45768</v>
      </c>
      <c r="J152" s="165">
        <f>1+1+2</f>
        <v>4</v>
      </c>
      <c r="K152" s="11">
        <f>+E152/D152*J152</f>
        <v>2586.5599999999995</v>
      </c>
      <c r="L152" s="90">
        <f t="shared" si="8"/>
        <v>0</v>
      </c>
      <c r="M152" s="10">
        <f t="shared" si="8"/>
        <v>0</v>
      </c>
      <c r="N152" s="109">
        <v>1989.48</v>
      </c>
      <c r="O152" s="55"/>
      <c r="P152" s="135">
        <v>0</v>
      </c>
      <c r="Q152" s="58"/>
      <c r="R152" s="161"/>
      <c r="S152" s="161"/>
    </row>
    <row r="153" spans="1:19" s="45" customFormat="1" ht="21.9" customHeight="1" x14ac:dyDescent="0.3">
      <c r="A153" s="51" t="s">
        <v>185</v>
      </c>
      <c r="B153" s="42" t="s">
        <v>148</v>
      </c>
      <c r="C153" s="21" t="s">
        <v>26</v>
      </c>
      <c r="D153" s="52">
        <v>0</v>
      </c>
      <c r="E153" s="41">
        <v>0</v>
      </c>
      <c r="F153" s="20"/>
      <c r="G153" s="20"/>
      <c r="H153" s="19">
        <v>45092</v>
      </c>
      <c r="I153" s="19">
        <v>45092</v>
      </c>
      <c r="J153" s="165"/>
      <c r="K153" s="11">
        <v>0</v>
      </c>
      <c r="L153" s="90">
        <f t="shared" si="8"/>
        <v>0</v>
      </c>
      <c r="M153" s="10">
        <v>0</v>
      </c>
      <c r="N153" s="109">
        <v>0</v>
      </c>
      <c r="O153" s="55"/>
      <c r="P153" s="135">
        <v>0</v>
      </c>
      <c r="Q153" s="58"/>
      <c r="R153" s="161"/>
      <c r="S153" s="161"/>
    </row>
    <row r="154" spans="1:19" s="45" customFormat="1" ht="21.9" customHeight="1" x14ac:dyDescent="0.3">
      <c r="A154" s="51" t="s">
        <v>187</v>
      </c>
      <c r="B154" s="42" t="s">
        <v>150</v>
      </c>
      <c r="C154" s="21" t="s">
        <v>26</v>
      </c>
      <c r="D154" s="52">
        <v>0</v>
      </c>
      <c r="E154" s="41">
        <v>0</v>
      </c>
      <c r="F154" s="20"/>
      <c r="G154" s="20"/>
      <c r="H154" s="19">
        <v>45092</v>
      </c>
      <c r="I154" s="19">
        <v>45092</v>
      </c>
      <c r="J154" s="165"/>
      <c r="K154" s="11">
        <v>0</v>
      </c>
      <c r="L154" s="90">
        <f t="shared" si="8"/>
        <v>0</v>
      </c>
      <c r="M154" s="10">
        <f t="shared" si="8"/>
        <v>0</v>
      </c>
      <c r="N154" s="109">
        <v>0</v>
      </c>
      <c r="O154" s="55"/>
      <c r="P154" s="135">
        <v>0</v>
      </c>
      <c r="Q154" s="58"/>
      <c r="R154" s="161"/>
      <c r="S154" s="161"/>
    </row>
    <row r="155" spans="1:19" s="45" customFormat="1" ht="21.9" customHeight="1" x14ac:dyDescent="0.3">
      <c r="A155" s="51" t="s">
        <v>188</v>
      </c>
      <c r="B155" s="42" t="s">
        <v>331</v>
      </c>
      <c r="C155" s="21" t="s">
        <v>26</v>
      </c>
      <c r="D155" s="52">
        <v>4</v>
      </c>
      <c r="E155" s="41">
        <v>2136.7849999999999</v>
      </c>
      <c r="F155" s="20"/>
      <c r="G155" s="20"/>
      <c r="H155" s="51">
        <v>45820</v>
      </c>
      <c r="I155" s="51">
        <v>45820</v>
      </c>
      <c r="J155" s="165"/>
      <c r="K155" s="11">
        <f t="shared" si="10"/>
        <v>0</v>
      </c>
      <c r="L155" s="90">
        <f t="shared" si="8"/>
        <v>4</v>
      </c>
      <c r="M155" s="10">
        <f t="shared" si="8"/>
        <v>2136.7849999999999</v>
      </c>
      <c r="N155" s="109">
        <v>2298.38</v>
      </c>
      <c r="O155" s="55"/>
      <c r="P155" s="135">
        <v>2298.38</v>
      </c>
      <c r="Q155" s="58"/>
      <c r="R155" s="161"/>
      <c r="S155" s="161"/>
    </row>
    <row r="156" spans="1:19" s="45" customFormat="1" ht="21.9" customHeight="1" x14ac:dyDescent="0.3">
      <c r="A156" s="51" t="s">
        <v>189</v>
      </c>
      <c r="B156" s="42" t="s">
        <v>316</v>
      </c>
      <c r="C156" s="21" t="s">
        <v>26</v>
      </c>
      <c r="D156" s="52">
        <v>4</v>
      </c>
      <c r="E156" s="41">
        <v>2136.782235294118</v>
      </c>
      <c r="F156" s="20"/>
      <c r="G156" s="20"/>
      <c r="H156" s="51">
        <v>45820</v>
      </c>
      <c r="I156" s="51">
        <v>45820</v>
      </c>
      <c r="J156" s="165"/>
      <c r="K156" s="11">
        <f t="shared" si="10"/>
        <v>0</v>
      </c>
      <c r="L156" s="90">
        <f t="shared" si="8"/>
        <v>4</v>
      </c>
      <c r="M156" s="10">
        <f t="shared" si="8"/>
        <v>2136.782235294118</v>
      </c>
      <c r="N156" s="109">
        <v>2298.3763137254905</v>
      </c>
      <c r="O156" s="55"/>
      <c r="P156" s="135">
        <v>2298.3763137254905</v>
      </c>
      <c r="Q156" s="58"/>
      <c r="R156" s="161"/>
      <c r="S156" s="161"/>
    </row>
    <row r="157" spans="1:19" s="45" customFormat="1" ht="21.9" customHeight="1" x14ac:dyDescent="0.3">
      <c r="A157" s="51" t="s">
        <v>232</v>
      </c>
      <c r="B157" s="42" t="s">
        <v>317</v>
      </c>
      <c r="C157" s="21" t="s">
        <v>26</v>
      </c>
      <c r="D157" s="52">
        <v>4</v>
      </c>
      <c r="E157" s="41">
        <v>2059.4542647058825</v>
      </c>
      <c r="F157" s="20"/>
      <c r="G157" s="20"/>
      <c r="H157" s="51">
        <v>45820</v>
      </c>
      <c r="I157" s="51">
        <v>45820</v>
      </c>
      <c r="J157" s="165"/>
      <c r="K157" s="11">
        <f t="shared" si="10"/>
        <v>0</v>
      </c>
      <c r="L157" s="90">
        <f t="shared" si="8"/>
        <v>4</v>
      </c>
      <c r="M157" s="10">
        <f t="shared" si="8"/>
        <v>2059.4542647058825</v>
      </c>
      <c r="N157" s="109">
        <v>2195.2723529411765</v>
      </c>
      <c r="O157" s="55"/>
      <c r="P157" s="135">
        <v>2195.2723529411765</v>
      </c>
      <c r="Q157" s="58"/>
      <c r="R157" s="161"/>
      <c r="S157" s="161"/>
    </row>
    <row r="158" spans="1:19" s="45" customFormat="1" ht="21.9" customHeight="1" x14ac:dyDescent="0.3">
      <c r="A158" s="51" t="s">
        <v>233</v>
      </c>
      <c r="B158" s="42" t="s">
        <v>318</v>
      </c>
      <c r="C158" s="21" t="s">
        <v>26</v>
      </c>
      <c r="D158" s="52">
        <v>5</v>
      </c>
      <c r="E158" s="41">
        <v>2065</v>
      </c>
      <c r="F158" s="20"/>
      <c r="G158" s="20"/>
      <c r="H158" s="51">
        <v>45820</v>
      </c>
      <c r="I158" s="51">
        <v>45820</v>
      </c>
      <c r="J158" s="165"/>
      <c r="K158" s="11">
        <f t="shared" si="10"/>
        <v>0</v>
      </c>
      <c r="L158" s="90">
        <f t="shared" si="8"/>
        <v>5</v>
      </c>
      <c r="M158" s="10">
        <f t="shared" si="8"/>
        <v>2065</v>
      </c>
      <c r="N158" s="109">
        <v>2504.5680000000002</v>
      </c>
      <c r="O158" s="55"/>
      <c r="P158" s="135">
        <v>1252.2840000000001</v>
      </c>
      <c r="Q158" s="58"/>
      <c r="R158" s="161"/>
      <c r="S158" s="161"/>
    </row>
    <row r="159" spans="1:19" s="45" customFormat="1" ht="21.9" customHeight="1" x14ac:dyDescent="0.3">
      <c r="A159" s="51" t="s">
        <v>234</v>
      </c>
      <c r="B159" s="42" t="s">
        <v>153</v>
      </c>
      <c r="C159" s="21" t="s">
        <v>26</v>
      </c>
      <c r="D159" s="52">
        <v>3</v>
      </c>
      <c r="E159" s="41">
        <v>21417</v>
      </c>
      <c r="F159" s="20"/>
      <c r="G159" s="20"/>
      <c r="H159" s="19">
        <v>45092</v>
      </c>
      <c r="I159" s="19">
        <v>45092</v>
      </c>
      <c r="J159" s="165"/>
      <c r="K159" s="11">
        <f t="shared" si="10"/>
        <v>0</v>
      </c>
      <c r="L159" s="90">
        <f t="shared" si="8"/>
        <v>3</v>
      </c>
      <c r="M159" s="10">
        <f t="shared" si="8"/>
        <v>21417</v>
      </c>
      <c r="N159" s="109">
        <v>42834</v>
      </c>
      <c r="O159" s="55"/>
      <c r="P159" s="135">
        <v>21417</v>
      </c>
      <c r="Q159" s="58"/>
      <c r="R159" s="161"/>
      <c r="S159" s="161"/>
    </row>
    <row r="160" spans="1:19" s="45" customFormat="1" ht="21.9" customHeight="1" x14ac:dyDescent="0.3">
      <c r="A160" s="51" t="s">
        <v>235</v>
      </c>
      <c r="B160" s="42" t="s">
        <v>155</v>
      </c>
      <c r="C160" s="21" t="s">
        <v>26</v>
      </c>
      <c r="D160" s="52">
        <v>6</v>
      </c>
      <c r="E160" s="41">
        <v>3363</v>
      </c>
      <c r="F160" s="20"/>
      <c r="G160" s="20"/>
      <c r="H160" s="19">
        <v>45152</v>
      </c>
      <c r="I160" s="19">
        <v>45152</v>
      </c>
      <c r="J160" s="165"/>
      <c r="K160" s="11">
        <f t="shared" si="10"/>
        <v>0</v>
      </c>
      <c r="L160" s="90">
        <f t="shared" si="8"/>
        <v>6</v>
      </c>
      <c r="M160" s="10">
        <f t="shared" si="8"/>
        <v>3363</v>
      </c>
      <c r="N160" s="109">
        <v>5605</v>
      </c>
      <c r="O160" s="55"/>
      <c r="P160" s="135">
        <v>3363</v>
      </c>
      <c r="Q160" s="58"/>
      <c r="R160" s="161"/>
      <c r="S160" s="161"/>
    </row>
    <row r="161" spans="1:19" s="45" customFormat="1" ht="21.9" customHeight="1" x14ac:dyDescent="0.3">
      <c r="A161" s="51" t="s">
        <v>236</v>
      </c>
      <c r="B161" s="42" t="s">
        <v>157</v>
      </c>
      <c r="C161" s="21" t="s">
        <v>26</v>
      </c>
      <c r="D161" s="52">
        <v>2</v>
      </c>
      <c r="E161" s="41">
        <v>184.07999999999998</v>
      </c>
      <c r="F161" s="20"/>
      <c r="G161" s="20"/>
      <c r="H161" s="19">
        <v>45092</v>
      </c>
      <c r="I161" s="19">
        <v>45092</v>
      </c>
      <c r="J161" s="165">
        <v>1</v>
      </c>
      <c r="K161" s="11">
        <f t="shared" si="10"/>
        <v>92.039999999999992</v>
      </c>
      <c r="L161" s="90">
        <f t="shared" si="8"/>
        <v>1</v>
      </c>
      <c r="M161" s="10">
        <f t="shared" si="8"/>
        <v>92.039999999999992</v>
      </c>
      <c r="N161" s="109">
        <v>368.15999999999997</v>
      </c>
      <c r="O161" s="55"/>
      <c r="P161" s="135">
        <v>184.07999999999998</v>
      </c>
      <c r="Q161" s="58"/>
      <c r="R161" s="161"/>
      <c r="S161" s="161"/>
    </row>
    <row r="162" spans="1:19" s="45" customFormat="1" ht="21.9" customHeight="1" x14ac:dyDescent="0.3">
      <c r="A162" s="51" t="s">
        <v>237</v>
      </c>
      <c r="B162" s="42" t="s">
        <v>312</v>
      </c>
      <c r="C162" s="21" t="s">
        <v>21</v>
      </c>
      <c r="D162" s="52">
        <v>3</v>
      </c>
      <c r="E162" s="41">
        <v>2673.0366666666664</v>
      </c>
      <c r="F162" s="20"/>
      <c r="G162" s="20"/>
      <c r="H162" s="19">
        <v>45092</v>
      </c>
      <c r="I162" s="19">
        <v>45092</v>
      </c>
      <c r="J162" s="165">
        <v>1</v>
      </c>
      <c r="K162" s="11">
        <f t="shared" si="10"/>
        <v>891.01222222222214</v>
      </c>
      <c r="L162" s="90">
        <f t="shared" si="8"/>
        <v>2</v>
      </c>
      <c r="M162" s="10">
        <f t="shared" si="8"/>
        <v>1782.0244444444443</v>
      </c>
      <c r="N162" s="109">
        <v>6237.0855555555554</v>
      </c>
      <c r="O162" s="55"/>
      <c r="P162" s="135">
        <v>2673.0366666666664</v>
      </c>
      <c r="Q162" s="58"/>
      <c r="R162" s="161"/>
      <c r="S162" s="161"/>
    </row>
    <row r="163" spans="1:19" s="45" customFormat="1" ht="21.9" customHeight="1" x14ac:dyDescent="0.3">
      <c r="A163" s="51" t="s">
        <v>238</v>
      </c>
      <c r="B163" s="42" t="s">
        <v>159</v>
      </c>
      <c r="C163" s="21" t="s">
        <v>26</v>
      </c>
      <c r="D163" s="52">
        <v>21</v>
      </c>
      <c r="E163" s="41">
        <v>748.45558333333179</v>
      </c>
      <c r="F163" s="20"/>
      <c r="G163" s="20"/>
      <c r="H163" s="19">
        <v>45092</v>
      </c>
      <c r="I163" s="19">
        <v>45092</v>
      </c>
      <c r="J163" s="165"/>
      <c r="K163" s="11">
        <f t="shared" si="10"/>
        <v>0</v>
      </c>
      <c r="L163" s="90">
        <f t="shared" si="8"/>
        <v>21</v>
      </c>
      <c r="M163" s="10">
        <f t="shared" si="8"/>
        <v>748.45558333333179</v>
      </c>
      <c r="N163" s="109">
        <v>178.20381944444409</v>
      </c>
      <c r="O163" s="55"/>
      <c r="P163" s="135">
        <v>748.45558333333179</v>
      </c>
      <c r="Q163" s="58"/>
      <c r="R163" s="161"/>
      <c r="S163" s="161"/>
    </row>
    <row r="164" spans="1:19" s="45" customFormat="1" ht="21.9" customHeight="1" x14ac:dyDescent="0.3">
      <c r="A164" s="51" t="s">
        <v>244</v>
      </c>
      <c r="B164" s="42" t="s">
        <v>161</v>
      </c>
      <c r="C164" s="21" t="s">
        <v>26</v>
      </c>
      <c r="D164" s="52">
        <v>9</v>
      </c>
      <c r="E164" s="41">
        <v>15637.95</v>
      </c>
      <c r="F164" s="20"/>
      <c r="G164" s="20"/>
      <c r="H164" s="51">
        <v>45826</v>
      </c>
      <c r="I164" s="51">
        <v>45826</v>
      </c>
      <c r="J164" s="165"/>
      <c r="K164" s="11">
        <f t="shared" si="10"/>
        <v>0</v>
      </c>
      <c r="L164" s="90">
        <f t="shared" si="8"/>
        <v>9</v>
      </c>
      <c r="M164" s="10">
        <f t="shared" si="8"/>
        <v>15637.95</v>
      </c>
      <c r="N164" s="109">
        <v>5870.4960000000001</v>
      </c>
      <c r="O164" s="55"/>
      <c r="P164" s="135">
        <v>0</v>
      </c>
      <c r="Q164" s="58"/>
      <c r="R164" s="161"/>
      <c r="S164" s="161"/>
    </row>
    <row r="165" spans="1:19" s="45" customFormat="1" ht="21.9" customHeight="1" x14ac:dyDescent="0.3">
      <c r="A165" s="51" t="s">
        <v>245</v>
      </c>
      <c r="B165" s="42" t="s">
        <v>163</v>
      </c>
      <c r="C165" s="21" t="s">
        <v>123</v>
      </c>
      <c r="D165" s="52">
        <v>0</v>
      </c>
      <c r="E165" s="41">
        <v>0</v>
      </c>
      <c r="F165" s="20"/>
      <c r="G165" s="20"/>
      <c r="H165" s="19">
        <v>45092</v>
      </c>
      <c r="I165" s="19">
        <v>45092</v>
      </c>
      <c r="J165" s="165"/>
      <c r="K165" s="11"/>
      <c r="L165" s="90">
        <f t="shared" si="8"/>
        <v>0</v>
      </c>
      <c r="M165" s="10">
        <f t="shared" si="8"/>
        <v>0</v>
      </c>
      <c r="N165" s="109">
        <v>0</v>
      </c>
      <c r="O165" s="55"/>
      <c r="P165" s="135">
        <v>0</v>
      </c>
      <c r="Q165" s="58"/>
      <c r="R165" s="161"/>
      <c r="S165" s="161"/>
    </row>
    <row r="166" spans="1:19" s="45" customFormat="1" ht="21.9" customHeight="1" x14ac:dyDescent="0.3">
      <c r="A166" s="51" t="s">
        <v>246</v>
      </c>
      <c r="B166" s="42" t="s">
        <v>165</v>
      </c>
      <c r="C166" s="21" t="s">
        <v>123</v>
      </c>
      <c r="D166" s="52">
        <v>0</v>
      </c>
      <c r="E166" s="41">
        <v>0</v>
      </c>
      <c r="F166" s="20"/>
      <c r="G166" s="20"/>
      <c r="H166" s="19">
        <v>45092</v>
      </c>
      <c r="I166" s="19">
        <v>45092</v>
      </c>
      <c r="J166" s="165"/>
      <c r="K166" s="11"/>
      <c r="L166" s="90">
        <f t="shared" si="8"/>
        <v>0</v>
      </c>
      <c r="M166" s="10">
        <f t="shared" si="8"/>
        <v>0</v>
      </c>
      <c r="N166" s="109">
        <v>0</v>
      </c>
      <c r="O166" s="55"/>
      <c r="P166" s="135">
        <v>0</v>
      </c>
      <c r="Q166" s="58"/>
      <c r="R166" s="161"/>
      <c r="S166" s="161"/>
    </row>
    <row r="167" spans="1:19" s="45" customFormat="1" ht="21.9" customHeight="1" x14ac:dyDescent="0.3">
      <c r="A167" s="51" t="s">
        <v>247</v>
      </c>
      <c r="B167" s="42" t="s">
        <v>167</v>
      </c>
      <c r="C167" s="21" t="s">
        <v>123</v>
      </c>
      <c r="D167" s="52">
        <v>0</v>
      </c>
      <c r="E167" s="41">
        <v>0</v>
      </c>
      <c r="F167" s="20"/>
      <c r="G167" s="20"/>
      <c r="H167" s="19">
        <v>45092</v>
      </c>
      <c r="I167" s="19">
        <v>45092</v>
      </c>
      <c r="J167" s="165"/>
      <c r="K167" s="11"/>
      <c r="L167" s="90">
        <f t="shared" si="8"/>
        <v>0</v>
      </c>
      <c r="M167" s="10">
        <f t="shared" si="8"/>
        <v>0</v>
      </c>
      <c r="N167" s="109">
        <v>0</v>
      </c>
      <c r="O167" s="55"/>
      <c r="P167" s="135">
        <v>0</v>
      </c>
      <c r="Q167" s="58"/>
      <c r="R167" s="161"/>
      <c r="S167" s="161"/>
    </row>
    <row r="168" spans="1:19" s="45" customFormat="1" ht="21.9" customHeight="1" x14ac:dyDescent="0.3">
      <c r="A168" s="51" t="s">
        <v>248</v>
      </c>
      <c r="B168" s="42" t="s">
        <v>313</v>
      </c>
      <c r="C168" s="21" t="s">
        <v>26</v>
      </c>
      <c r="D168" s="52">
        <v>5</v>
      </c>
      <c r="E168" s="41">
        <v>2065</v>
      </c>
      <c r="F168" s="20"/>
      <c r="G168" s="20"/>
      <c r="H168" s="51">
        <v>45820</v>
      </c>
      <c r="I168" s="51">
        <v>45820</v>
      </c>
      <c r="J168" s="165">
        <f>1+1</f>
        <v>2</v>
      </c>
      <c r="K168" s="11">
        <f t="shared" si="10"/>
        <v>826</v>
      </c>
      <c r="L168" s="90">
        <f t="shared" si="8"/>
        <v>3</v>
      </c>
      <c r="M168" s="10">
        <f t="shared" si="8"/>
        <v>1239</v>
      </c>
      <c r="N168" s="109">
        <v>2504.5680000000002</v>
      </c>
      <c r="O168" s="55"/>
      <c r="P168" s="135">
        <v>1252.2840000000001</v>
      </c>
      <c r="Q168" s="58"/>
      <c r="R168" s="161"/>
      <c r="S168" s="161"/>
    </row>
    <row r="169" spans="1:19" s="45" customFormat="1" ht="21.9" customHeight="1" x14ac:dyDescent="0.3">
      <c r="A169" s="51" t="s">
        <v>249</v>
      </c>
      <c r="B169" s="42" t="s">
        <v>314</v>
      </c>
      <c r="C169" s="21" t="s">
        <v>26</v>
      </c>
      <c r="D169" s="52">
        <v>3</v>
      </c>
      <c r="E169" s="41">
        <v>1452.1425000000002</v>
      </c>
      <c r="F169" s="20"/>
      <c r="G169" s="20"/>
      <c r="H169" s="51">
        <v>45820</v>
      </c>
      <c r="I169" s="51">
        <v>45820</v>
      </c>
      <c r="J169" s="165">
        <v>1</v>
      </c>
      <c r="K169" s="11">
        <f>+E169/D169*J169</f>
        <v>484.04750000000007</v>
      </c>
      <c r="L169" s="90">
        <f t="shared" si="8"/>
        <v>2</v>
      </c>
      <c r="M169" s="10">
        <f>+E169+G169-K169</f>
        <v>968.09500000000003</v>
      </c>
      <c r="N169" s="109">
        <v>1878.4275000000002</v>
      </c>
      <c r="O169" s="55"/>
      <c r="P169" s="135">
        <v>1878.4275000000002</v>
      </c>
      <c r="Q169" s="58"/>
      <c r="R169" s="161"/>
      <c r="S169" s="161"/>
    </row>
    <row r="170" spans="1:19" s="45" customFormat="1" ht="21.9" customHeight="1" x14ac:dyDescent="0.3">
      <c r="A170" s="51" t="s">
        <v>250</v>
      </c>
      <c r="B170" s="42" t="s">
        <v>315</v>
      </c>
      <c r="C170" s="21" t="s">
        <v>26</v>
      </c>
      <c r="D170" s="52">
        <v>3</v>
      </c>
      <c r="E170" s="41">
        <v>1228.8533333333335</v>
      </c>
      <c r="F170" s="20"/>
      <c r="G170" s="20"/>
      <c r="H170" s="51">
        <v>45820</v>
      </c>
      <c r="I170" s="51">
        <v>45820</v>
      </c>
      <c r="J170" s="165">
        <v>1</v>
      </c>
      <c r="K170" s="11">
        <f>+E170/D170*J170</f>
        <v>409.6177777777778</v>
      </c>
      <c r="L170" s="90">
        <f>+D170+F170-J170</f>
        <v>2</v>
      </c>
      <c r="M170" s="10">
        <f>+E170+G170-K170</f>
        <v>819.23555555555572</v>
      </c>
      <c r="N170" s="109">
        <v>1208.56</v>
      </c>
      <c r="O170" s="55"/>
      <c r="P170" s="135">
        <v>1208.56</v>
      </c>
      <c r="Q170" s="58"/>
      <c r="R170" s="161"/>
      <c r="S170" s="161"/>
    </row>
    <row r="171" spans="1:19" s="45" customFormat="1" ht="21.9" customHeight="1" x14ac:dyDescent="0.3">
      <c r="A171" s="51" t="s">
        <v>292</v>
      </c>
      <c r="B171" s="42" t="s">
        <v>341</v>
      </c>
      <c r="C171" s="21" t="s">
        <v>26</v>
      </c>
      <c r="D171" s="52">
        <v>3</v>
      </c>
      <c r="E171" s="41">
        <v>1239</v>
      </c>
      <c r="F171" s="20"/>
      <c r="G171" s="20"/>
      <c r="H171" s="51">
        <v>45820</v>
      </c>
      <c r="I171" s="51">
        <v>45820</v>
      </c>
      <c r="J171" s="165">
        <v>1</v>
      </c>
      <c r="K171" s="11">
        <f>+E171/D171*J171</f>
        <v>413</v>
      </c>
      <c r="L171" s="90">
        <f>+D171+F171-J171</f>
        <v>2</v>
      </c>
      <c r="M171" s="10">
        <f>+E171+G171-K171</f>
        <v>826</v>
      </c>
      <c r="N171" s="109">
        <v>1878.4275000000002</v>
      </c>
      <c r="O171" s="55"/>
      <c r="P171" s="135">
        <v>1252.2850000000003</v>
      </c>
      <c r="Q171" s="58"/>
      <c r="R171" s="161"/>
      <c r="S171" s="161"/>
    </row>
    <row r="172" spans="1:19" s="46" customFormat="1" ht="21.9" customHeight="1" x14ac:dyDescent="0.3">
      <c r="A172" s="51" t="s">
        <v>293</v>
      </c>
      <c r="B172" s="42" t="s">
        <v>170</v>
      </c>
      <c r="C172" s="21" t="s">
        <v>26</v>
      </c>
      <c r="D172" s="52">
        <v>8</v>
      </c>
      <c r="E172" s="41">
        <v>452.78575510204087</v>
      </c>
      <c r="F172" s="20"/>
      <c r="G172" s="20"/>
      <c r="H172" s="19">
        <v>45768</v>
      </c>
      <c r="I172" s="19">
        <v>45768</v>
      </c>
      <c r="J172" s="165"/>
      <c r="K172" s="11">
        <f t="shared" ref="K172:K199" si="11">+E172/D172*J172</f>
        <v>0</v>
      </c>
      <c r="L172" s="90">
        <f>+D172+F172-J172</f>
        <v>8</v>
      </c>
      <c r="M172" s="10">
        <f t="shared" ref="L172:M204" si="12">+E172+G172-K172</f>
        <v>452.78575510204087</v>
      </c>
      <c r="N172" s="109">
        <v>299.33342857142861</v>
      </c>
      <c r="O172" s="56"/>
      <c r="P172" s="133">
        <v>171.0476734693878</v>
      </c>
      <c r="Q172" s="58"/>
      <c r="R172" s="162"/>
      <c r="S172" s="162"/>
    </row>
    <row r="173" spans="1:19" s="46" customFormat="1" ht="21.9" customHeight="1" x14ac:dyDescent="0.3">
      <c r="A173" s="51" t="s">
        <v>294</v>
      </c>
      <c r="B173" s="42" t="s">
        <v>172</v>
      </c>
      <c r="C173" s="21" t="s">
        <v>26</v>
      </c>
      <c r="D173" s="52">
        <v>2</v>
      </c>
      <c r="E173" s="41">
        <v>87.933333333333309</v>
      </c>
      <c r="F173" s="20"/>
      <c r="G173" s="20"/>
      <c r="H173" s="19">
        <v>45092</v>
      </c>
      <c r="I173" s="19">
        <v>45092</v>
      </c>
      <c r="J173" s="165">
        <v>1</v>
      </c>
      <c r="K173" s="11">
        <f t="shared" si="11"/>
        <v>43.966666666666654</v>
      </c>
      <c r="L173" s="90">
        <f>+D173+F173-J173</f>
        <v>1</v>
      </c>
      <c r="M173" s="10">
        <f t="shared" si="12"/>
        <v>43.966666666666654</v>
      </c>
      <c r="N173" s="109">
        <v>439.66666666666663</v>
      </c>
      <c r="O173" s="56"/>
      <c r="P173" s="133">
        <v>263.79999999999995</v>
      </c>
      <c r="Q173" s="58"/>
      <c r="R173" s="162"/>
      <c r="S173" s="162"/>
    </row>
    <row r="174" spans="1:19" s="46" customFormat="1" ht="21.9" customHeight="1" x14ac:dyDescent="0.3">
      <c r="A174" s="51" t="s">
        <v>295</v>
      </c>
      <c r="B174" s="42" t="s">
        <v>174</v>
      </c>
      <c r="C174" s="21" t="s">
        <v>26</v>
      </c>
      <c r="D174" s="52">
        <v>0</v>
      </c>
      <c r="E174" s="41">
        <v>0</v>
      </c>
      <c r="F174" s="20"/>
      <c r="G174" s="20"/>
      <c r="H174" s="19">
        <v>45092</v>
      </c>
      <c r="I174" s="19">
        <v>45092</v>
      </c>
      <c r="J174" s="165"/>
      <c r="K174" s="11">
        <v>0</v>
      </c>
      <c r="L174" s="90">
        <f t="shared" si="12"/>
        <v>0</v>
      </c>
      <c r="M174" s="10">
        <f t="shared" si="12"/>
        <v>0</v>
      </c>
      <c r="N174" s="109">
        <v>0</v>
      </c>
      <c r="O174" s="56"/>
      <c r="P174" s="133">
        <v>0</v>
      </c>
      <c r="Q174" s="58"/>
      <c r="R174" s="162"/>
      <c r="S174" s="162"/>
    </row>
    <row r="175" spans="1:19" s="46" customFormat="1" ht="21.9" customHeight="1" x14ac:dyDescent="0.3">
      <c r="A175" s="51" t="s">
        <v>296</v>
      </c>
      <c r="B175" s="42" t="s">
        <v>254</v>
      </c>
      <c r="C175" s="21" t="s">
        <v>26</v>
      </c>
      <c r="D175" s="52">
        <v>22</v>
      </c>
      <c r="E175" s="41">
        <v>488.9903333333333</v>
      </c>
      <c r="F175" s="20"/>
      <c r="G175" s="20"/>
      <c r="H175" s="19">
        <v>45768</v>
      </c>
      <c r="I175" s="19">
        <v>45768</v>
      </c>
      <c r="J175" s="165"/>
      <c r="K175" s="11">
        <f t="shared" si="11"/>
        <v>0</v>
      </c>
      <c r="L175" s="90">
        <f t="shared" si="12"/>
        <v>22</v>
      </c>
      <c r="M175" s="10">
        <f t="shared" si="12"/>
        <v>488.9903333333333</v>
      </c>
      <c r="N175" s="109">
        <v>384.76400000000001</v>
      </c>
      <c r="O175" s="56"/>
      <c r="P175" s="133">
        <v>384.76400000000001</v>
      </c>
      <c r="Q175" s="58"/>
      <c r="R175" s="162"/>
      <c r="S175" s="162"/>
    </row>
    <row r="176" spans="1:19" s="46" customFormat="1" ht="21.9" customHeight="1" x14ac:dyDescent="0.3">
      <c r="A176" s="51" t="s">
        <v>297</v>
      </c>
      <c r="B176" s="42" t="s">
        <v>255</v>
      </c>
      <c r="C176" s="21" t="s">
        <v>26</v>
      </c>
      <c r="D176" s="52">
        <v>9</v>
      </c>
      <c r="E176" s="41">
        <v>174.16800000000001</v>
      </c>
      <c r="F176" s="20"/>
      <c r="G176" s="20"/>
      <c r="H176" s="19">
        <v>45768</v>
      </c>
      <c r="I176" s="19">
        <v>45768</v>
      </c>
      <c r="J176" s="165">
        <v>3</v>
      </c>
      <c r="K176" s="11">
        <f t="shared" si="11"/>
        <v>58.055999999999997</v>
      </c>
      <c r="L176" s="90">
        <f t="shared" si="12"/>
        <v>6</v>
      </c>
      <c r="M176" s="10">
        <f t="shared" si="12"/>
        <v>116.11200000000001</v>
      </c>
      <c r="N176" s="109">
        <v>83.543999999999997</v>
      </c>
      <c r="O176" s="56"/>
      <c r="P176" s="133">
        <v>83.543999999999997</v>
      </c>
      <c r="Q176" s="58"/>
      <c r="R176" s="162"/>
      <c r="S176" s="162"/>
    </row>
    <row r="177" spans="1:19" s="46" customFormat="1" ht="21.9" customHeight="1" x14ac:dyDescent="0.3">
      <c r="A177" s="51" t="s">
        <v>298</v>
      </c>
      <c r="B177" s="42" t="s">
        <v>328</v>
      </c>
      <c r="C177" s="21" t="s">
        <v>26</v>
      </c>
      <c r="D177" s="52">
        <v>12</v>
      </c>
      <c r="E177" s="41">
        <v>273.99098181818187</v>
      </c>
      <c r="F177" s="20"/>
      <c r="G177" s="20"/>
      <c r="H177" s="19">
        <v>45768</v>
      </c>
      <c r="I177" s="19">
        <v>45768</v>
      </c>
      <c r="J177" s="165">
        <v>1</v>
      </c>
      <c r="K177" s="11">
        <f t="shared" si="11"/>
        <v>22.832581818181822</v>
      </c>
      <c r="L177" s="90">
        <f t="shared" si="12"/>
        <v>11</v>
      </c>
      <c r="M177" s="10">
        <f t="shared" si="12"/>
        <v>251.15840000000003</v>
      </c>
      <c r="N177" s="109">
        <v>236.87733333333335</v>
      </c>
      <c r="O177" s="56"/>
      <c r="P177" s="133">
        <v>193.80872727272731</v>
      </c>
      <c r="Q177" s="58"/>
      <c r="R177" s="162"/>
      <c r="S177" s="162"/>
    </row>
    <row r="178" spans="1:19" s="46" customFormat="1" ht="21.9" customHeight="1" x14ac:dyDescent="0.3">
      <c r="A178" s="51" t="s">
        <v>299</v>
      </c>
      <c r="B178" s="42" t="s">
        <v>256</v>
      </c>
      <c r="C178" s="21" t="s">
        <v>26</v>
      </c>
      <c r="D178" s="52">
        <v>13</v>
      </c>
      <c r="E178" s="41">
        <v>315.11306666666667</v>
      </c>
      <c r="F178" s="20"/>
      <c r="G178" s="20"/>
      <c r="H178" s="19">
        <v>45768</v>
      </c>
      <c r="I178" s="19">
        <v>45768</v>
      </c>
      <c r="J178" s="165">
        <v>1</v>
      </c>
      <c r="K178" s="11">
        <f>+E178/D178*J178</f>
        <v>24.239466666666665</v>
      </c>
      <c r="L178" s="90">
        <f t="shared" si="12"/>
        <v>12</v>
      </c>
      <c r="M178" s="10">
        <f t="shared" si="12"/>
        <v>290.87360000000001</v>
      </c>
      <c r="N178" s="109">
        <v>359.53800000000001</v>
      </c>
      <c r="O178" s="56"/>
      <c r="P178" s="133">
        <v>311.59960000000001</v>
      </c>
      <c r="Q178" s="58"/>
      <c r="R178" s="162"/>
      <c r="S178" s="162"/>
    </row>
    <row r="179" spans="1:19" s="46" customFormat="1" ht="21.9" customHeight="1" x14ac:dyDescent="0.3">
      <c r="A179" s="51" t="s">
        <v>300</v>
      </c>
      <c r="B179" s="42" t="s">
        <v>257</v>
      </c>
      <c r="C179" s="21" t="s">
        <v>26</v>
      </c>
      <c r="D179" s="52">
        <v>2</v>
      </c>
      <c r="E179" s="41">
        <v>35.21</v>
      </c>
      <c r="F179" s="20"/>
      <c r="G179" s="20"/>
      <c r="H179" s="19">
        <v>45152</v>
      </c>
      <c r="I179" s="19">
        <v>45152</v>
      </c>
      <c r="J179" s="165"/>
      <c r="K179" s="11">
        <f t="shared" si="11"/>
        <v>0</v>
      </c>
      <c r="L179" s="90">
        <f t="shared" si="12"/>
        <v>2</v>
      </c>
      <c r="M179" s="10">
        <f t="shared" si="12"/>
        <v>35.21</v>
      </c>
      <c r="N179" s="109">
        <v>35.21</v>
      </c>
      <c r="O179" s="56"/>
      <c r="P179" s="133">
        <v>35.21</v>
      </c>
      <c r="Q179" s="58"/>
      <c r="R179" s="162"/>
      <c r="S179" s="162"/>
    </row>
    <row r="180" spans="1:19" s="46" customFormat="1" ht="21.9" customHeight="1" x14ac:dyDescent="0.3">
      <c r="A180" s="51" t="s">
        <v>301</v>
      </c>
      <c r="B180" s="42" t="s">
        <v>258</v>
      </c>
      <c r="C180" s="21" t="s">
        <v>26</v>
      </c>
      <c r="D180" s="52">
        <v>1</v>
      </c>
      <c r="E180" s="41">
        <v>17.605</v>
      </c>
      <c r="F180" s="20"/>
      <c r="G180" s="20"/>
      <c r="H180" s="19">
        <v>45152</v>
      </c>
      <c r="I180" s="19">
        <v>45152</v>
      </c>
      <c r="J180" s="165"/>
      <c r="K180" s="11">
        <f t="shared" si="11"/>
        <v>0</v>
      </c>
      <c r="L180" s="90">
        <f t="shared" si="12"/>
        <v>1</v>
      </c>
      <c r="M180" s="10">
        <f t="shared" si="12"/>
        <v>17.605</v>
      </c>
      <c r="N180" s="109">
        <v>17.605</v>
      </c>
      <c r="O180" s="56"/>
      <c r="P180" s="133">
        <v>17.605</v>
      </c>
      <c r="Q180" s="58"/>
      <c r="R180" s="162"/>
      <c r="S180" s="162"/>
    </row>
    <row r="181" spans="1:19" s="46" customFormat="1" ht="21.9" customHeight="1" x14ac:dyDescent="0.3">
      <c r="A181" s="51" t="s">
        <v>302</v>
      </c>
      <c r="B181" s="42" t="s">
        <v>259</v>
      </c>
      <c r="C181" s="21" t="s">
        <v>26</v>
      </c>
      <c r="D181" s="52">
        <v>1</v>
      </c>
      <c r="E181" s="41">
        <v>17.605</v>
      </c>
      <c r="F181" s="20"/>
      <c r="G181" s="20"/>
      <c r="H181" s="19">
        <v>45152</v>
      </c>
      <c r="I181" s="19">
        <v>45152</v>
      </c>
      <c r="J181" s="165"/>
      <c r="K181" s="11">
        <f t="shared" si="11"/>
        <v>0</v>
      </c>
      <c r="L181" s="90">
        <f t="shared" si="12"/>
        <v>1</v>
      </c>
      <c r="M181" s="10">
        <f t="shared" si="12"/>
        <v>17.605</v>
      </c>
      <c r="N181" s="109">
        <v>17.605</v>
      </c>
      <c r="O181" s="56"/>
      <c r="P181" s="133">
        <v>17.605</v>
      </c>
      <c r="Q181" s="58"/>
      <c r="R181" s="162"/>
      <c r="S181" s="162"/>
    </row>
    <row r="182" spans="1:19" s="46" customFormat="1" ht="21.9" customHeight="1" x14ac:dyDescent="0.3">
      <c r="A182" s="51" t="s">
        <v>303</v>
      </c>
      <c r="B182" s="42" t="s">
        <v>260</v>
      </c>
      <c r="C182" s="21" t="s">
        <v>26</v>
      </c>
      <c r="D182" s="52">
        <v>11</v>
      </c>
      <c r="E182" s="41">
        <v>311.15692307692302</v>
      </c>
      <c r="F182" s="20"/>
      <c r="G182" s="20"/>
      <c r="H182" s="19">
        <v>45768</v>
      </c>
      <c r="I182" s="19">
        <v>45768</v>
      </c>
      <c r="J182" s="165"/>
      <c r="K182" s="11">
        <f>+E182/D182*J182</f>
        <v>0</v>
      </c>
      <c r="L182" s="90">
        <f t="shared" si="12"/>
        <v>11</v>
      </c>
      <c r="M182" s="10">
        <f t="shared" si="12"/>
        <v>311.15692307692302</v>
      </c>
      <c r="N182" s="109">
        <v>206.73599999999999</v>
      </c>
      <c r="O182" s="56"/>
      <c r="P182" s="133">
        <v>112.7650909090909</v>
      </c>
      <c r="Q182" s="58"/>
      <c r="R182" s="162"/>
      <c r="S182" s="162"/>
    </row>
    <row r="183" spans="1:19" s="46" customFormat="1" ht="21.9" customHeight="1" x14ac:dyDescent="0.3">
      <c r="A183" s="51" t="s">
        <v>304</v>
      </c>
      <c r="B183" s="42" t="s">
        <v>261</v>
      </c>
      <c r="C183" s="21" t="s">
        <v>26</v>
      </c>
      <c r="D183" s="52">
        <v>10</v>
      </c>
      <c r="E183" s="41">
        <v>262.84499999999997</v>
      </c>
      <c r="F183" s="20"/>
      <c r="G183" s="20"/>
      <c r="H183" s="19">
        <v>45768</v>
      </c>
      <c r="I183" s="19">
        <v>45768</v>
      </c>
      <c r="J183" s="165"/>
      <c r="K183" s="11">
        <f t="shared" si="11"/>
        <v>0</v>
      </c>
      <c r="L183" s="90">
        <f t="shared" si="12"/>
        <v>10</v>
      </c>
      <c r="M183" s="10">
        <f t="shared" si="12"/>
        <v>262.84499999999997</v>
      </c>
      <c r="N183" s="109">
        <v>146.792</v>
      </c>
      <c r="O183" s="56"/>
      <c r="P183" s="133">
        <v>110.09400000000001</v>
      </c>
      <c r="Q183" s="58"/>
      <c r="R183" s="162"/>
      <c r="S183" s="162"/>
    </row>
    <row r="184" spans="1:19" s="46" customFormat="1" ht="21.9" customHeight="1" x14ac:dyDescent="0.3">
      <c r="A184" s="51" t="s">
        <v>305</v>
      </c>
      <c r="B184" s="42" t="s">
        <v>262</v>
      </c>
      <c r="C184" s="21" t="s">
        <v>26</v>
      </c>
      <c r="D184" s="52">
        <v>12</v>
      </c>
      <c r="E184" s="41">
        <v>307.51716923076918</v>
      </c>
      <c r="F184" s="20"/>
      <c r="G184" s="20"/>
      <c r="H184" s="19">
        <v>45768</v>
      </c>
      <c r="I184" s="19">
        <v>45768</v>
      </c>
      <c r="J184" s="165"/>
      <c r="K184" s="11">
        <f t="shared" si="11"/>
        <v>0</v>
      </c>
      <c r="L184" s="90">
        <f t="shared" si="12"/>
        <v>12</v>
      </c>
      <c r="M184" s="10">
        <f t="shared" si="12"/>
        <v>307.51716923076918</v>
      </c>
      <c r="N184" s="109">
        <v>258.666</v>
      </c>
      <c r="O184" s="56"/>
      <c r="P184" s="133">
        <v>179.07646153846153</v>
      </c>
      <c r="Q184" s="58"/>
      <c r="R184" s="162"/>
      <c r="S184" s="162"/>
    </row>
    <row r="185" spans="1:19" s="46" customFormat="1" ht="21.9" customHeight="1" x14ac:dyDescent="0.3">
      <c r="A185" s="51" t="s">
        <v>306</v>
      </c>
      <c r="B185" s="42" t="s">
        <v>263</v>
      </c>
      <c r="C185" s="21" t="s">
        <v>26</v>
      </c>
      <c r="D185" s="52">
        <v>14</v>
      </c>
      <c r="E185" s="41">
        <v>349.72874999999999</v>
      </c>
      <c r="F185" s="20"/>
      <c r="G185" s="20"/>
      <c r="H185" s="19">
        <v>45768</v>
      </c>
      <c r="I185" s="19">
        <v>45768</v>
      </c>
      <c r="J185" s="165"/>
      <c r="K185" s="11">
        <f t="shared" si="11"/>
        <v>0</v>
      </c>
      <c r="L185" s="90">
        <f t="shared" si="12"/>
        <v>14</v>
      </c>
      <c r="M185" s="10">
        <f t="shared" si="12"/>
        <v>349.72874999999999</v>
      </c>
      <c r="N185" s="109">
        <v>233.24400000000003</v>
      </c>
      <c r="O185" s="56"/>
      <c r="P185" s="133">
        <v>194.37</v>
      </c>
      <c r="Q185" s="58"/>
      <c r="R185" s="162"/>
      <c r="S185" s="162"/>
    </row>
    <row r="186" spans="1:19" s="46" customFormat="1" ht="21.9" customHeight="1" x14ac:dyDescent="0.3">
      <c r="A186" s="51" t="s">
        <v>345</v>
      </c>
      <c r="B186" s="42" t="s">
        <v>264</v>
      </c>
      <c r="C186" s="21" t="s">
        <v>26</v>
      </c>
      <c r="D186" s="52">
        <v>10</v>
      </c>
      <c r="E186" s="41">
        <v>278.31496503496504</v>
      </c>
      <c r="F186" s="20"/>
      <c r="G186" s="20"/>
      <c r="H186" s="19">
        <v>45768</v>
      </c>
      <c r="I186" s="19">
        <v>45768</v>
      </c>
      <c r="J186" s="165"/>
      <c r="K186" s="11">
        <f t="shared" si="11"/>
        <v>0</v>
      </c>
      <c r="L186" s="90">
        <f t="shared" si="12"/>
        <v>10</v>
      </c>
      <c r="M186" s="10">
        <f t="shared" si="12"/>
        <v>278.31496503496504</v>
      </c>
      <c r="N186" s="109">
        <v>245.91200000000003</v>
      </c>
      <c r="O186" s="56"/>
      <c r="P186" s="133">
        <v>156.48945454545458</v>
      </c>
      <c r="Q186" s="58"/>
      <c r="R186" s="162"/>
      <c r="S186" s="162"/>
    </row>
    <row r="187" spans="1:19" s="46" customFormat="1" ht="21.9" customHeight="1" x14ac:dyDescent="0.3">
      <c r="A187" s="51" t="s">
        <v>346</v>
      </c>
      <c r="B187" s="42" t="s">
        <v>177</v>
      </c>
      <c r="C187" s="21" t="s">
        <v>26</v>
      </c>
      <c r="D187" s="52">
        <v>7</v>
      </c>
      <c r="E187" s="41">
        <v>1944.5588750000002</v>
      </c>
      <c r="F187" s="20"/>
      <c r="G187" s="20"/>
      <c r="H187" s="19">
        <v>45768</v>
      </c>
      <c r="I187" s="19">
        <v>45768</v>
      </c>
      <c r="J187" s="165">
        <f>2+1</f>
        <v>3</v>
      </c>
      <c r="K187" s="11">
        <f>+E187/D187*J187</f>
        <v>833.38237500000002</v>
      </c>
      <c r="L187" s="90">
        <f t="shared" si="12"/>
        <v>4</v>
      </c>
      <c r="M187" s="10">
        <f t="shared" si="12"/>
        <v>1111.1765</v>
      </c>
      <c r="N187" s="109">
        <v>1659.9059999999999</v>
      </c>
      <c r="O187" s="56"/>
      <c r="P187" s="133">
        <v>1452.4177500000001</v>
      </c>
      <c r="Q187" s="58"/>
      <c r="R187" s="162"/>
      <c r="S187" s="162"/>
    </row>
    <row r="188" spans="1:19" s="46" customFormat="1" ht="21.9" customHeight="1" x14ac:dyDescent="0.3">
      <c r="A188" s="51" t="s">
        <v>347</v>
      </c>
      <c r="B188" s="42" t="s">
        <v>253</v>
      </c>
      <c r="C188" s="21" t="s">
        <v>123</v>
      </c>
      <c r="D188" s="52">
        <v>12</v>
      </c>
      <c r="E188" s="41">
        <v>948.25892307692288</v>
      </c>
      <c r="F188" s="20"/>
      <c r="G188" s="20"/>
      <c r="H188" s="19">
        <v>45768</v>
      </c>
      <c r="I188" s="19">
        <v>45768</v>
      </c>
      <c r="J188" s="165"/>
      <c r="K188" s="11">
        <f>+E188/D188*J188</f>
        <v>0</v>
      </c>
      <c r="L188" s="90">
        <f t="shared" si="12"/>
        <v>12</v>
      </c>
      <c r="M188" s="10">
        <f t="shared" si="12"/>
        <v>948.25892307692288</v>
      </c>
      <c r="N188" s="109">
        <v>536.74799999999993</v>
      </c>
      <c r="O188" s="56"/>
      <c r="P188" s="133">
        <v>268.37399999999991</v>
      </c>
      <c r="Q188" s="58"/>
      <c r="R188" s="162"/>
      <c r="S188" s="162"/>
    </row>
    <row r="189" spans="1:19" s="46" customFormat="1" ht="21.9" customHeight="1" x14ac:dyDescent="0.3">
      <c r="A189" s="51" t="s">
        <v>307</v>
      </c>
      <c r="B189" s="42" t="s">
        <v>179</v>
      </c>
      <c r="C189" s="21" t="s">
        <v>26</v>
      </c>
      <c r="D189" s="52">
        <v>17</v>
      </c>
      <c r="E189" s="41">
        <v>539.79636363636359</v>
      </c>
      <c r="F189" s="20"/>
      <c r="G189" s="20"/>
      <c r="H189" s="19">
        <v>45768</v>
      </c>
      <c r="I189" s="19">
        <v>45768</v>
      </c>
      <c r="J189" s="165">
        <v>1</v>
      </c>
      <c r="K189" s="11">
        <f>+E189/D189*J189</f>
        <v>31.75272727272727</v>
      </c>
      <c r="L189" s="90">
        <f t="shared" si="12"/>
        <v>16</v>
      </c>
      <c r="M189" s="10">
        <f t="shared" si="12"/>
        <v>508.04363636363632</v>
      </c>
      <c r="N189" s="109">
        <v>322.14</v>
      </c>
      <c r="O189" s="56"/>
      <c r="P189" s="133">
        <v>292.85454545454542</v>
      </c>
      <c r="Q189" s="58"/>
      <c r="R189" s="162"/>
      <c r="S189" s="162"/>
    </row>
    <row r="190" spans="1:19" s="46" customFormat="1" ht="21.9" customHeight="1" x14ac:dyDescent="0.3">
      <c r="A190" s="51" t="s">
        <v>348</v>
      </c>
      <c r="B190" s="42" t="s">
        <v>274</v>
      </c>
      <c r="C190" s="21" t="s">
        <v>21</v>
      </c>
      <c r="D190" s="52">
        <v>4</v>
      </c>
      <c r="E190" s="41">
        <v>289.64</v>
      </c>
      <c r="F190" s="20"/>
      <c r="G190" s="20"/>
      <c r="H190" s="19">
        <v>45152</v>
      </c>
      <c r="I190" s="19">
        <v>45152</v>
      </c>
      <c r="J190" s="165"/>
      <c r="K190" s="11">
        <f t="shared" si="11"/>
        <v>0</v>
      </c>
      <c r="L190" s="90">
        <f t="shared" si="12"/>
        <v>4</v>
      </c>
      <c r="M190" s="10">
        <f t="shared" si="12"/>
        <v>289.64</v>
      </c>
      <c r="N190" s="109">
        <v>506.87</v>
      </c>
      <c r="O190" s="56"/>
      <c r="P190" s="133">
        <v>289.64</v>
      </c>
      <c r="Q190" s="58"/>
      <c r="R190" s="162"/>
      <c r="S190" s="162"/>
    </row>
    <row r="191" spans="1:19" s="46" customFormat="1" ht="21.9" customHeight="1" x14ac:dyDescent="0.3">
      <c r="A191" s="51" t="s">
        <v>349</v>
      </c>
      <c r="B191" s="42" t="s">
        <v>269</v>
      </c>
      <c r="C191" s="21" t="s">
        <v>26</v>
      </c>
      <c r="D191" s="52">
        <v>3</v>
      </c>
      <c r="E191" s="41">
        <v>1286.4360000000001</v>
      </c>
      <c r="F191" s="20"/>
      <c r="G191" s="20"/>
      <c r="H191" s="19">
        <v>45152</v>
      </c>
      <c r="I191" s="19">
        <v>45152</v>
      </c>
      <c r="J191" s="165"/>
      <c r="K191" s="11">
        <f t="shared" si="11"/>
        <v>0</v>
      </c>
      <c r="L191" s="90">
        <f t="shared" si="12"/>
        <v>3</v>
      </c>
      <c r="M191" s="10">
        <f t="shared" si="12"/>
        <v>1286.4360000000001</v>
      </c>
      <c r="N191" s="109">
        <v>1715.248</v>
      </c>
      <c r="O191" s="56"/>
      <c r="P191" s="133">
        <v>1286.4360000000001</v>
      </c>
      <c r="Q191" s="58"/>
      <c r="R191" s="162"/>
      <c r="S191" s="162"/>
    </row>
    <row r="192" spans="1:19" s="46" customFormat="1" ht="21.9" customHeight="1" x14ac:dyDescent="0.3">
      <c r="A192" s="51" t="s">
        <v>308</v>
      </c>
      <c r="B192" s="42" t="s">
        <v>181</v>
      </c>
      <c r="C192" s="21" t="s">
        <v>26</v>
      </c>
      <c r="D192" s="52">
        <v>0</v>
      </c>
      <c r="E192" s="41">
        <v>0</v>
      </c>
      <c r="F192" s="20"/>
      <c r="G192" s="20"/>
      <c r="H192" s="19">
        <v>45092</v>
      </c>
      <c r="I192" s="19">
        <v>45092</v>
      </c>
      <c r="J192" s="165"/>
      <c r="K192" s="11">
        <v>0</v>
      </c>
      <c r="L192" s="90">
        <f t="shared" si="12"/>
        <v>0</v>
      </c>
      <c r="M192" s="10">
        <f t="shared" si="12"/>
        <v>0</v>
      </c>
      <c r="N192" s="109">
        <v>0</v>
      </c>
      <c r="O192" s="56"/>
      <c r="P192" s="133">
        <v>0</v>
      </c>
      <c r="Q192" s="58"/>
      <c r="R192" s="162"/>
      <c r="S192" s="162"/>
    </row>
    <row r="193" spans="1:21" s="46" customFormat="1" ht="21.9" customHeight="1" x14ac:dyDescent="0.3">
      <c r="A193" s="51" t="s">
        <v>309</v>
      </c>
      <c r="B193" s="42" t="s">
        <v>208</v>
      </c>
      <c r="C193" s="21" t="s">
        <v>26</v>
      </c>
      <c r="D193" s="52">
        <v>3</v>
      </c>
      <c r="E193" s="41">
        <v>15930</v>
      </c>
      <c r="F193" s="20"/>
      <c r="G193" s="20"/>
      <c r="H193" s="51">
        <v>45820</v>
      </c>
      <c r="I193" s="51">
        <v>45820</v>
      </c>
      <c r="J193" s="165"/>
      <c r="K193" s="11">
        <v>0</v>
      </c>
      <c r="L193" s="90">
        <f t="shared" si="12"/>
        <v>3</v>
      </c>
      <c r="M193" s="10">
        <f t="shared" si="12"/>
        <v>15930</v>
      </c>
      <c r="N193" s="109">
        <v>6491.03</v>
      </c>
      <c r="O193" s="56"/>
      <c r="P193" s="133">
        <v>0</v>
      </c>
      <c r="Q193" s="58"/>
      <c r="R193" s="162"/>
      <c r="S193" s="162"/>
    </row>
    <row r="194" spans="1:21" s="46" customFormat="1" ht="21.9" customHeight="1" x14ac:dyDescent="0.3">
      <c r="A194" s="51" t="s">
        <v>310</v>
      </c>
      <c r="B194" s="42" t="s">
        <v>209</v>
      </c>
      <c r="C194" s="21" t="s">
        <v>26</v>
      </c>
      <c r="D194" s="52">
        <v>3</v>
      </c>
      <c r="E194" s="41">
        <v>15930</v>
      </c>
      <c r="F194" s="20"/>
      <c r="G194" s="20"/>
      <c r="H194" s="51">
        <v>45820</v>
      </c>
      <c r="I194" s="51">
        <v>45820</v>
      </c>
      <c r="J194" s="165"/>
      <c r="K194" s="11">
        <v>0</v>
      </c>
      <c r="L194" s="90">
        <f t="shared" si="12"/>
        <v>3</v>
      </c>
      <c r="M194" s="10">
        <f t="shared" si="12"/>
        <v>15930</v>
      </c>
      <c r="N194" s="109">
        <v>6491.0299999999988</v>
      </c>
      <c r="O194" s="56"/>
      <c r="P194" s="133">
        <v>0</v>
      </c>
      <c r="Q194" s="58"/>
      <c r="R194" s="162"/>
      <c r="S194" s="162"/>
    </row>
    <row r="195" spans="1:21" s="46" customFormat="1" ht="21.9" customHeight="1" x14ac:dyDescent="0.3">
      <c r="A195" s="51" t="s">
        <v>350</v>
      </c>
      <c r="B195" s="42" t="s">
        <v>265</v>
      </c>
      <c r="C195" s="21" t="s">
        <v>26</v>
      </c>
      <c r="D195" s="52">
        <v>0</v>
      </c>
      <c r="E195" s="41">
        <v>0</v>
      </c>
      <c r="F195" s="20"/>
      <c r="G195" s="20"/>
      <c r="H195" s="19">
        <v>45768</v>
      </c>
      <c r="I195" s="19">
        <v>45768</v>
      </c>
      <c r="J195" s="165"/>
      <c r="K195" s="11">
        <v>0</v>
      </c>
      <c r="L195" s="90">
        <f t="shared" si="12"/>
        <v>0</v>
      </c>
      <c r="M195" s="10">
        <f t="shared" si="12"/>
        <v>0</v>
      </c>
      <c r="N195" s="109">
        <v>800.04</v>
      </c>
      <c r="O195" s="56"/>
      <c r="P195" s="133">
        <v>333.35</v>
      </c>
      <c r="Q195" s="58"/>
      <c r="R195" s="162"/>
      <c r="S195" s="162"/>
    </row>
    <row r="196" spans="1:21" s="46" customFormat="1" ht="21.9" customHeight="1" x14ac:dyDescent="0.3">
      <c r="A196" s="51" t="s">
        <v>351</v>
      </c>
      <c r="B196" s="42" t="s">
        <v>266</v>
      </c>
      <c r="C196" s="21" t="s">
        <v>26</v>
      </c>
      <c r="D196" s="52">
        <v>0</v>
      </c>
      <c r="E196" s="41">
        <v>0</v>
      </c>
      <c r="F196" s="20"/>
      <c r="G196" s="20"/>
      <c r="H196" s="19">
        <v>45152</v>
      </c>
      <c r="I196" s="19">
        <v>45152</v>
      </c>
      <c r="J196" s="165"/>
      <c r="K196" s="11">
        <v>0</v>
      </c>
      <c r="L196" s="90">
        <f t="shared" si="12"/>
        <v>0</v>
      </c>
      <c r="M196" s="10">
        <f t="shared" si="12"/>
        <v>0</v>
      </c>
      <c r="N196" s="109">
        <v>0</v>
      </c>
      <c r="O196" s="56"/>
      <c r="P196" s="133">
        <v>0</v>
      </c>
      <c r="Q196" s="58"/>
      <c r="R196" s="162"/>
      <c r="S196" s="162"/>
    </row>
    <row r="197" spans="1:21" s="46" customFormat="1" ht="21.9" customHeight="1" x14ac:dyDescent="0.3">
      <c r="A197" s="51" t="s">
        <v>352</v>
      </c>
      <c r="B197" s="42" t="s">
        <v>337</v>
      </c>
      <c r="C197" s="21" t="s">
        <v>241</v>
      </c>
      <c r="D197" s="52">
        <v>3</v>
      </c>
      <c r="E197" s="41">
        <v>3345</v>
      </c>
      <c r="F197" s="20"/>
      <c r="G197" s="20"/>
      <c r="H197" s="19">
        <v>45397</v>
      </c>
      <c r="I197" s="19">
        <v>45397</v>
      </c>
      <c r="J197" s="165"/>
      <c r="K197" s="11">
        <v>0</v>
      </c>
      <c r="L197" s="90">
        <f t="shared" si="12"/>
        <v>3</v>
      </c>
      <c r="M197" s="10">
        <f t="shared" si="12"/>
        <v>3345</v>
      </c>
      <c r="N197" s="109">
        <v>4460</v>
      </c>
      <c r="O197" s="56"/>
      <c r="P197" s="133">
        <v>3345</v>
      </c>
      <c r="Q197" s="58"/>
      <c r="R197" s="162"/>
      <c r="S197" s="162"/>
    </row>
    <row r="198" spans="1:21" s="46" customFormat="1" ht="21.9" customHeight="1" x14ac:dyDescent="0.3">
      <c r="A198" s="51" t="s">
        <v>311</v>
      </c>
      <c r="B198" s="42" t="s">
        <v>338</v>
      </c>
      <c r="C198" s="21" t="s">
        <v>241</v>
      </c>
      <c r="D198" s="52">
        <v>3</v>
      </c>
      <c r="E198" s="41">
        <v>13806</v>
      </c>
      <c r="F198" s="20"/>
      <c r="G198" s="20">
        <v>0</v>
      </c>
      <c r="H198" s="19">
        <v>45397</v>
      </c>
      <c r="I198" s="19">
        <v>45397</v>
      </c>
      <c r="J198" s="165">
        <v>1</v>
      </c>
      <c r="K198" s="11">
        <f t="shared" si="11"/>
        <v>4602</v>
      </c>
      <c r="L198" s="90">
        <f t="shared" si="12"/>
        <v>2</v>
      </c>
      <c r="M198" s="10">
        <f t="shared" si="12"/>
        <v>9204</v>
      </c>
      <c r="N198" s="109">
        <v>18408</v>
      </c>
      <c r="O198" s="56"/>
      <c r="P198" s="133">
        <v>18408</v>
      </c>
      <c r="Q198" s="58"/>
      <c r="R198" s="162"/>
      <c r="S198" s="162"/>
    </row>
    <row r="199" spans="1:21" s="45" customFormat="1" ht="21.9" customHeight="1" x14ac:dyDescent="0.3">
      <c r="A199" s="51" t="s">
        <v>353</v>
      </c>
      <c r="B199" s="42" t="s">
        <v>184</v>
      </c>
      <c r="C199" s="21" t="s">
        <v>26</v>
      </c>
      <c r="D199" s="52">
        <v>6</v>
      </c>
      <c r="E199" s="41">
        <v>24691.5</v>
      </c>
      <c r="F199" s="20"/>
      <c r="G199" s="20">
        <v>0</v>
      </c>
      <c r="H199" s="19">
        <v>45092</v>
      </c>
      <c r="I199" s="19">
        <v>45092</v>
      </c>
      <c r="J199" s="165">
        <v>1</v>
      </c>
      <c r="K199" s="11">
        <f t="shared" si="11"/>
        <v>4115.25</v>
      </c>
      <c r="L199" s="90">
        <f t="shared" si="12"/>
        <v>5</v>
      </c>
      <c r="M199" s="10">
        <f t="shared" si="12"/>
        <v>20576.25</v>
      </c>
      <c r="N199" s="109">
        <v>32922</v>
      </c>
      <c r="O199" s="55"/>
      <c r="P199" s="135">
        <v>24691.5</v>
      </c>
      <c r="Q199" s="58"/>
      <c r="R199" s="161"/>
      <c r="S199" s="161"/>
    </row>
    <row r="200" spans="1:21" s="45" customFormat="1" ht="21.9" customHeight="1" x14ac:dyDescent="0.3">
      <c r="A200" s="51" t="s">
        <v>354</v>
      </c>
      <c r="B200" s="42" t="s">
        <v>186</v>
      </c>
      <c r="C200" s="21" t="s">
        <v>26</v>
      </c>
      <c r="D200" s="52">
        <v>0</v>
      </c>
      <c r="E200" s="41">
        <v>0</v>
      </c>
      <c r="F200" s="20"/>
      <c r="G200" s="20">
        <v>0</v>
      </c>
      <c r="H200" s="19">
        <v>45092</v>
      </c>
      <c r="I200" s="19">
        <v>45092</v>
      </c>
      <c r="J200" s="165"/>
      <c r="K200" s="11">
        <v>0</v>
      </c>
      <c r="L200" s="90">
        <f t="shared" si="12"/>
        <v>0</v>
      </c>
      <c r="M200" s="10">
        <f t="shared" si="12"/>
        <v>0</v>
      </c>
      <c r="N200" s="109">
        <v>0</v>
      </c>
      <c r="O200" s="55"/>
      <c r="P200" s="135">
        <v>0</v>
      </c>
      <c r="Q200" s="58"/>
      <c r="R200" s="161"/>
      <c r="S200" s="161"/>
    </row>
    <row r="201" spans="1:21" s="45" customFormat="1" ht="21.9" customHeight="1" x14ac:dyDescent="0.3">
      <c r="A201" s="51" t="s">
        <v>355</v>
      </c>
      <c r="B201" s="42" t="s">
        <v>335</v>
      </c>
      <c r="C201" s="21" t="s">
        <v>26</v>
      </c>
      <c r="D201" s="52">
        <v>0</v>
      </c>
      <c r="E201" s="41">
        <v>0</v>
      </c>
      <c r="F201" s="20"/>
      <c r="G201" s="20">
        <v>0</v>
      </c>
      <c r="H201" s="19">
        <v>45397</v>
      </c>
      <c r="I201" s="19">
        <v>45397</v>
      </c>
      <c r="J201" s="165"/>
      <c r="K201" s="11">
        <v>0</v>
      </c>
      <c r="L201" s="90">
        <f t="shared" si="12"/>
        <v>0</v>
      </c>
      <c r="M201" s="10">
        <f t="shared" si="12"/>
        <v>0</v>
      </c>
      <c r="N201" s="109">
        <v>0</v>
      </c>
      <c r="O201" s="55"/>
      <c r="P201" s="135">
        <v>0</v>
      </c>
      <c r="Q201" s="58"/>
      <c r="R201" s="161"/>
      <c r="S201" s="161"/>
    </row>
    <row r="202" spans="1:21" s="45" customFormat="1" ht="21.9" customHeight="1" x14ac:dyDescent="0.3">
      <c r="A202" s="51" t="s">
        <v>356</v>
      </c>
      <c r="B202" s="42" t="s">
        <v>336</v>
      </c>
      <c r="C202" s="21" t="s">
        <v>26</v>
      </c>
      <c r="D202" s="52">
        <v>0</v>
      </c>
      <c r="E202" s="41">
        <v>0</v>
      </c>
      <c r="F202" s="20"/>
      <c r="G202" s="20">
        <v>0</v>
      </c>
      <c r="H202" s="19">
        <v>45397</v>
      </c>
      <c r="I202" s="19">
        <v>45397</v>
      </c>
      <c r="J202" s="165"/>
      <c r="K202" s="11">
        <v>0</v>
      </c>
      <c r="L202" s="90">
        <f t="shared" si="12"/>
        <v>0</v>
      </c>
      <c r="M202" s="10">
        <f t="shared" si="12"/>
        <v>0</v>
      </c>
      <c r="N202" s="109">
        <v>0</v>
      </c>
      <c r="O202" s="55"/>
      <c r="P202" s="135">
        <v>0</v>
      </c>
      <c r="Q202" s="58"/>
      <c r="R202" s="161"/>
      <c r="S202" s="161"/>
    </row>
    <row r="203" spans="1:21" s="45" customFormat="1" ht="21.9" customHeight="1" x14ac:dyDescent="0.3">
      <c r="A203" s="51" t="s">
        <v>357</v>
      </c>
      <c r="B203" s="42" t="s">
        <v>340</v>
      </c>
      <c r="C203" s="21" t="s">
        <v>26</v>
      </c>
      <c r="D203" s="53">
        <v>0</v>
      </c>
      <c r="E203" s="41">
        <v>0</v>
      </c>
      <c r="F203" s="20"/>
      <c r="G203" s="20">
        <v>0</v>
      </c>
      <c r="H203" s="19">
        <v>45397</v>
      </c>
      <c r="I203" s="19">
        <v>45397</v>
      </c>
      <c r="J203" s="165"/>
      <c r="K203" s="11">
        <v>0</v>
      </c>
      <c r="L203" s="90">
        <f t="shared" si="12"/>
        <v>0</v>
      </c>
      <c r="M203" s="10">
        <f t="shared" si="12"/>
        <v>0</v>
      </c>
      <c r="N203" s="109">
        <v>0</v>
      </c>
      <c r="O203" s="55"/>
      <c r="P203" s="135">
        <v>0</v>
      </c>
      <c r="Q203" s="161">
        <v>0</v>
      </c>
      <c r="R203" s="161"/>
      <c r="S203" s="161"/>
    </row>
    <row r="204" spans="1:21" s="45" customFormat="1" ht="21.9" customHeight="1" x14ac:dyDescent="0.3">
      <c r="A204" s="51" t="s">
        <v>358</v>
      </c>
      <c r="B204" s="42" t="s">
        <v>190</v>
      </c>
      <c r="C204" s="21" t="s">
        <v>26</v>
      </c>
      <c r="D204" s="53">
        <v>0</v>
      </c>
      <c r="E204" s="41">
        <v>0</v>
      </c>
      <c r="F204" s="20"/>
      <c r="G204" s="20">
        <v>0</v>
      </c>
      <c r="H204" s="19">
        <v>45397</v>
      </c>
      <c r="I204" s="19">
        <v>45397</v>
      </c>
      <c r="J204" s="165"/>
      <c r="K204" s="11">
        <v>0</v>
      </c>
      <c r="L204" s="90">
        <f t="shared" si="12"/>
        <v>0</v>
      </c>
      <c r="M204" s="10">
        <v>0</v>
      </c>
      <c r="N204" s="109">
        <v>0</v>
      </c>
      <c r="O204" s="55"/>
      <c r="P204" s="135">
        <v>0</v>
      </c>
      <c r="Q204" s="161">
        <v>0</v>
      </c>
      <c r="R204" s="161"/>
      <c r="S204" s="161"/>
    </row>
    <row r="205" spans="1:21" s="18" customFormat="1" ht="21.9" customHeight="1" x14ac:dyDescent="0.3">
      <c r="A205" s="22" t="s">
        <v>28</v>
      </c>
      <c r="B205" s="23"/>
      <c r="C205" s="23"/>
      <c r="D205" s="23"/>
      <c r="E205" s="24"/>
      <c r="F205" s="23"/>
      <c r="G205" s="23"/>
      <c r="H205" s="23"/>
      <c r="I205" s="23"/>
      <c r="J205" s="91"/>
      <c r="K205" s="92">
        <v>0</v>
      </c>
      <c r="L205" s="126">
        <f>+D205+F205-J205</f>
        <v>0</v>
      </c>
      <c r="M205" s="57">
        <f>SUM(M105:M204)</f>
        <v>208177.77587649119</v>
      </c>
      <c r="N205" s="26">
        <f>SUM(N104:N204)</f>
        <v>244291.787487222</v>
      </c>
      <c r="O205" s="85"/>
      <c r="P205" s="138">
        <f>SUM(P104:P204)</f>
        <v>137878.63522431743</v>
      </c>
      <c r="Q205" s="160"/>
      <c r="R205" s="58"/>
      <c r="S205" s="58"/>
      <c r="U205" s="58"/>
    </row>
    <row r="206" spans="1:21" s="124" customFormat="1" ht="21.6" customHeight="1" x14ac:dyDescent="0.3">
      <c r="A206" s="116"/>
      <c r="B206" s="117"/>
      <c r="C206" s="117"/>
      <c r="D206" s="117"/>
      <c r="E206" s="118"/>
      <c r="F206" s="117"/>
      <c r="G206" s="117"/>
      <c r="H206" s="117"/>
      <c r="I206" s="117"/>
      <c r="J206" s="119"/>
      <c r="K206" s="128"/>
      <c r="L206" s="120"/>
      <c r="M206" s="121"/>
      <c r="N206" s="122"/>
      <c r="O206" s="123"/>
    </row>
    <row r="207" spans="1:21" s="18" customFormat="1" ht="21.9" hidden="1" customHeight="1" x14ac:dyDescent="0.3">
      <c r="A207" s="44" t="s">
        <v>192</v>
      </c>
      <c r="B207" s="44"/>
      <c r="C207" s="44"/>
      <c r="D207" s="44"/>
      <c r="E207" s="44"/>
      <c r="F207" s="44"/>
      <c r="G207" s="44"/>
      <c r="H207" s="44"/>
      <c r="I207" s="59"/>
      <c r="M207" s="58"/>
      <c r="N207" s="58"/>
    </row>
    <row r="208" spans="1:21" s="18" customFormat="1" ht="21.9" hidden="1" customHeight="1" thickBot="1" x14ac:dyDescent="0.35">
      <c r="M208" s="58"/>
      <c r="N208" s="58"/>
    </row>
    <row r="209" spans="1:20" s="18" customFormat="1" ht="42" hidden="1" customHeight="1" x14ac:dyDescent="0.3">
      <c r="A209" s="60" t="s">
        <v>193</v>
      </c>
      <c r="B209" s="61"/>
      <c r="C209" s="61"/>
      <c r="D209" s="61"/>
      <c r="E209" s="61"/>
      <c r="F209" s="61"/>
      <c r="G209" s="61"/>
      <c r="H209" s="61"/>
      <c r="I209" s="62" t="s">
        <v>194</v>
      </c>
      <c r="J209" s="63"/>
      <c r="K209" s="64"/>
      <c r="L209" s="64"/>
      <c r="M209" s="65"/>
      <c r="N209" s="110"/>
    </row>
    <row r="210" spans="1:20" s="18" customFormat="1" ht="21.9" hidden="1" customHeight="1" x14ac:dyDescent="0.3">
      <c r="A210" s="66" t="s">
        <v>16</v>
      </c>
      <c r="B210" s="67"/>
      <c r="C210" s="67"/>
      <c r="D210" s="67"/>
      <c r="E210" s="67"/>
      <c r="F210" s="67"/>
      <c r="G210" s="67"/>
      <c r="H210" s="67"/>
      <c r="I210" s="8" t="s">
        <v>34</v>
      </c>
      <c r="J210" s="39"/>
      <c r="K210" s="68"/>
      <c r="L210" s="68"/>
      <c r="M210" s="69"/>
      <c r="N210" s="111"/>
    </row>
    <row r="211" spans="1:20" s="18" customFormat="1" ht="21.9" hidden="1" customHeight="1" x14ac:dyDescent="0.3">
      <c r="A211" s="66" t="s">
        <v>27</v>
      </c>
      <c r="B211" s="67"/>
      <c r="C211" s="67"/>
      <c r="D211" s="67"/>
      <c r="E211" s="67"/>
      <c r="F211" s="67"/>
      <c r="G211" s="67"/>
      <c r="H211" s="67"/>
      <c r="I211" s="8" t="s">
        <v>37</v>
      </c>
      <c r="J211" s="39"/>
      <c r="K211" s="68"/>
      <c r="L211" s="68"/>
      <c r="M211" s="69"/>
      <c r="N211" s="111"/>
    </row>
    <row r="212" spans="1:20" s="18" customFormat="1" ht="21.9" hidden="1" customHeight="1" x14ac:dyDescent="0.3">
      <c r="A212" s="70" t="s">
        <v>41</v>
      </c>
      <c r="B212" s="71"/>
      <c r="C212" s="71"/>
      <c r="D212" s="71"/>
      <c r="E212" s="71"/>
      <c r="F212" s="71"/>
      <c r="G212" s="71"/>
      <c r="H212" s="71"/>
      <c r="I212" s="8" t="s">
        <v>195</v>
      </c>
      <c r="J212" s="39"/>
      <c r="K212" s="68"/>
      <c r="L212" s="68"/>
      <c r="M212" s="69"/>
      <c r="N212" s="111"/>
    </row>
    <row r="213" spans="1:20" s="18" customFormat="1" ht="21.9" hidden="1" customHeight="1" x14ac:dyDescent="0.3">
      <c r="A213" s="70" t="s">
        <v>31</v>
      </c>
      <c r="B213" s="71"/>
      <c r="C213" s="71"/>
      <c r="D213" s="71"/>
      <c r="E213" s="71"/>
      <c r="F213" s="71"/>
      <c r="G213" s="71"/>
      <c r="H213" s="71"/>
      <c r="I213" s="8" t="s">
        <v>196</v>
      </c>
      <c r="J213" s="39"/>
      <c r="K213" s="68"/>
      <c r="L213" s="68"/>
      <c r="M213" s="69"/>
      <c r="N213" s="111"/>
    </row>
    <row r="214" spans="1:20" s="18" customFormat="1" ht="21.9" hidden="1" customHeight="1" thickBot="1" x14ac:dyDescent="0.35">
      <c r="A214" s="177" t="s">
        <v>191</v>
      </c>
      <c r="B214" s="178"/>
      <c r="C214" s="178"/>
      <c r="D214" s="178"/>
      <c r="E214" s="178"/>
      <c r="F214" s="178"/>
      <c r="G214" s="178"/>
      <c r="H214" s="178"/>
      <c r="I214" s="179"/>
      <c r="J214" s="72"/>
      <c r="K214" s="73"/>
      <c r="L214" s="73"/>
      <c r="M214" s="74"/>
      <c r="N214" s="112"/>
    </row>
    <row r="215" spans="1:20" ht="21.9" customHeight="1" x14ac:dyDescent="0.3">
      <c r="M215" s="75"/>
      <c r="N215" s="75"/>
    </row>
    <row r="216" spans="1:20" s="18" customFormat="1" ht="21.9" customHeight="1" thickBot="1" x14ac:dyDescent="0.35">
      <c r="A216" s="147" t="s">
        <v>191</v>
      </c>
      <c r="B216" s="148"/>
      <c r="C216" s="148"/>
      <c r="D216" s="148"/>
      <c r="E216" s="149"/>
      <c r="F216" s="148"/>
      <c r="G216" s="148"/>
      <c r="H216" s="148"/>
      <c r="I216" s="148"/>
      <c r="J216" s="150"/>
      <c r="K216" s="150"/>
      <c r="L216" s="150"/>
      <c r="M216" s="151">
        <f>+M205+M101+M33+M20</f>
        <v>569450.84588579508</v>
      </c>
      <c r="N216" s="152"/>
      <c r="O216" s="153"/>
      <c r="T216" s="111"/>
    </row>
    <row r="218" spans="1:20" x14ac:dyDescent="0.3">
      <c r="T218" s="89"/>
    </row>
    <row r="219" spans="1:20" x14ac:dyDescent="0.3">
      <c r="M219" s="103"/>
      <c r="N219" s="103"/>
    </row>
    <row r="220" spans="1:20" ht="31.2" x14ac:dyDescent="0.6">
      <c r="A220" s="140"/>
      <c r="B220" s="78"/>
      <c r="C220" s="141"/>
      <c r="D220" s="140"/>
      <c r="E220" s="142"/>
      <c r="F220" s="140"/>
      <c r="G220" s="140"/>
      <c r="H220" s="140"/>
      <c r="I220" s="140"/>
      <c r="J220" s="140"/>
      <c r="K220" s="140"/>
      <c r="L220" s="140"/>
      <c r="M220" s="143"/>
      <c r="N220" s="144"/>
      <c r="O220" s="144"/>
      <c r="P220" s="144"/>
      <c r="Q220" s="144"/>
      <c r="T220" s="93"/>
    </row>
    <row r="221" spans="1:20" ht="31.2" x14ac:dyDescent="0.6">
      <c r="A221" s="139"/>
      <c r="B221" s="139"/>
      <c r="C221" s="79"/>
      <c r="D221" s="78"/>
      <c r="E221" s="166"/>
      <c r="F221" s="78"/>
      <c r="G221" s="78"/>
      <c r="H221" s="78"/>
      <c r="I221" s="139"/>
      <c r="J221" s="139"/>
      <c r="K221" s="139"/>
      <c r="L221" s="139"/>
      <c r="M221" s="1" t="s">
        <v>377</v>
      </c>
    </row>
    <row r="222" spans="1:20" ht="31.2" x14ac:dyDescent="0.6">
      <c r="A222" s="176" t="s">
        <v>383</v>
      </c>
      <c r="B222" s="176"/>
      <c r="C222" s="77"/>
      <c r="D222" s="78"/>
      <c r="E222" s="167" t="s">
        <v>387</v>
      </c>
      <c r="F222" s="78"/>
      <c r="G222" s="78"/>
      <c r="H222" s="78"/>
      <c r="I222" s="176" t="s">
        <v>386</v>
      </c>
      <c r="J222" s="176"/>
      <c r="K222" s="176"/>
      <c r="L222" s="176"/>
    </row>
    <row r="223" spans="1:20" ht="31.2" x14ac:dyDescent="0.6">
      <c r="A223" s="180" t="s">
        <v>384</v>
      </c>
      <c r="B223" s="180"/>
      <c r="C223" s="79"/>
      <c r="D223" s="78"/>
      <c r="E223" s="166" t="s">
        <v>388</v>
      </c>
      <c r="F223" s="78"/>
      <c r="G223" s="78"/>
      <c r="H223" s="78"/>
      <c r="I223" s="180" t="s">
        <v>197</v>
      </c>
      <c r="J223" s="180"/>
      <c r="K223" s="180"/>
      <c r="L223" s="180"/>
    </row>
    <row r="224" spans="1:20" ht="31.2" x14ac:dyDescent="0.6">
      <c r="A224" s="176" t="s">
        <v>385</v>
      </c>
      <c r="B224" s="176"/>
      <c r="C224" s="77"/>
      <c r="D224" s="78"/>
      <c r="E224" s="167" t="s">
        <v>198</v>
      </c>
      <c r="F224" s="78"/>
      <c r="G224" s="78"/>
      <c r="H224" s="78"/>
      <c r="I224" s="167"/>
      <c r="J224" s="176" t="s">
        <v>199</v>
      </c>
      <c r="K224" s="176"/>
      <c r="L224" s="78"/>
    </row>
    <row r="225" spans="1:12" ht="31.2" x14ac:dyDescent="0.6">
      <c r="A225" s="139"/>
      <c r="B225" s="145"/>
      <c r="C225" s="79"/>
      <c r="D225" s="78"/>
      <c r="E225" s="166"/>
      <c r="F225" s="78"/>
      <c r="G225" s="78"/>
      <c r="H225" s="78"/>
      <c r="I225" s="166"/>
      <c r="J225" s="166"/>
      <c r="K225" s="166"/>
      <c r="L225" s="166"/>
    </row>
    <row r="226" spans="1:12" ht="31.2" x14ac:dyDescent="0.6">
      <c r="A226" s="139"/>
      <c r="B226" s="166"/>
      <c r="C226" s="79"/>
      <c r="D226" s="78"/>
      <c r="E226" s="166"/>
      <c r="F226" s="78"/>
      <c r="G226" s="78"/>
      <c r="H226" s="78"/>
      <c r="I226" s="166"/>
      <c r="J226" s="166"/>
      <c r="K226" s="166"/>
      <c r="L226" s="166"/>
    </row>
    <row r="227" spans="1:12" ht="31.2" x14ac:dyDescent="0.6">
      <c r="A227" s="78"/>
      <c r="B227" s="78"/>
      <c r="C227" s="77"/>
      <c r="D227" s="78"/>
      <c r="E227" s="167"/>
      <c r="F227" s="78"/>
      <c r="G227" s="78"/>
      <c r="H227" s="78"/>
      <c r="I227" s="167"/>
      <c r="J227" s="176"/>
      <c r="K227" s="176"/>
      <c r="L227" s="78"/>
    </row>
    <row r="231" spans="1:12" ht="37.950000000000003" customHeight="1" x14ac:dyDescent="0.3"/>
    <row r="240" spans="1:12" ht="23.4" x14ac:dyDescent="0.45">
      <c r="I240" s="96"/>
    </row>
    <row r="241" spans="2:11" ht="23.4" x14ac:dyDescent="0.45">
      <c r="G241" s="94"/>
      <c r="I241" s="96"/>
    </row>
    <row r="242" spans="2:11" ht="23.4" x14ac:dyDescent="0.45">
      <c r="B242" s="93"/>
      <c r="G242" s="94"/>
      <c r="I242" s="96"/>
      <c r="K242" s="89"/>
    </row>
    <row r="243" spans="2:11" ht="23.4" x14ac:dyDescent="0.45">
      <c r="B243" s="93"/>
      <c r="G243" s="94"/>
      <c r="I243" s="98"/>
      <c r="K243" s="89"/>
    </row>
    <row r="244" spans="2:11" x14ac:dyDescent="0.3">
      <c r="B244" s="89"/>
      <c r="F244" s="89"/>
      <c r="G244" s="89"/>
    </row>
    <row r="245" spans="2:11" x14ac:dyDescent="0.3">
      <c r="B245" s="89"/>
      <c r="F245" s="89"/>
      <c r="G245" s="89"/>
    </row>
    <row r="246" spans="2:11" ht="23.4" x14ac:dyDescent="0.45">
      <c r="B246" s="93"/>
      <c r="F246" s="89"/>
      <c r="G246" s="89"/>
      <c r="I246" s="96"/>
    </row>
    <row r="247" spans="2:11" ht="25.8" x14ac:dyDescent="0.5">
      <c r="F247" s="100"/>
      <c r="G247" s="89"/>
      <c r="I247" s="97"/>
      <c r="K247" s="88"/>
    </row>
    <row r="248" spans="2:11" ht="23.4" x14ac:dyDescent="0.45">
      <c r="F248" s="95"/>
      <c r="G248" s="89"/>
      <c r="I248" s="97"/>
    </row>
    <row r="249" spans="2:11" ht="23.4" x14ac:dyDescent="0.45">
      <c r="F249" s="95"/>
      <c r="G249" s="89"/>
      <c r="I249" s="98"/>
    </row>
    <row r="250" spans="2:11" ht="21" x14ac:dyDescent="0.4">
      <c r="F250" s="99"/>
    </row>
    <row r="251" spans="2:11" x14ac:dyDescent="0.3">
      <c r="B251" s="93"/>
    </row>
    <row r="253" spans="2:11" ht="25.8" x14ac:dyDescent="0.5">
      <c r="I253" s="102"/>
    </row>
    <row r="254" spans="2:11" ht="25.8" x14ac:dyDescent="0.5">
      <c r="I254" s="101"/>
    </row>
    <row r="255" spans="2:11" ht="25.8" x14ac:dyDescent="0.5">
      <c r="I255" s="101"/>
    </row>
    <row r="256" spans="2:11" ht="25.8" x14ac:dyDescent="0.5">
      <c r="I256" s="102"/>
    </row>
  </sheetData>
  <mergeCells count="20">
    <mergeCell ref="A103:O103"/>
    <mergeCell ref="A5:O5"/>
    <mergeCell ref="A6:O6"/>
    <mergeCell ref="A10:O10"/>
    <mergeCell ref="A20:L20"/>
    <mergeCell ref="A22:O22"/>
    <mergeCell ref="A24:L24"/>
    <mergeCell ref="A27:O27"/>
    <mergeCell ref="A30:O30"/>
    <mergeCell ref="A33:L33"/>
    <mergeCell ref="A35:O35"/>
    <mergeCell ref="A101:L101"/>
    <mergeCell ref="J227:K227"/>
    <mergeCell ref="A214:I214"/>
    <mergeCell ref="A222:B222"/>
    <mergeCell ref="I222:L222"/>
    <mergeCell ref="A223:B223"/>
    <mergeCell ref="I223:L223"/>
    <mergeCell ref="A224:B224"/>
    <mergeCell ref="J224:K224"/>
  </mergeCells>
  <conditionalFormatting sqref="A210:H210">
    <cfRule type="duplicateValues" dxfId="96" priority="44"/>
    <cfRule type="duplicateValues" dxfId="95" priority="42" stopIfTrue="1"/>
    <cfRule type="duplicateValues" dxfId="94" priority="43" stopIfTrue="1"/>
  </conditionalFormatting>
  <conditionalFormatting sqref="A211:H211">
    <cfRule type="duplicateValues" dxfId="93" priority="39" stopIfTrue="1"/>
    <cfRule type="duplicateValues" dxfId="92" priority="40" stopIfTrue="1"/>
    <cfRule type="duplicateValues" dxfId="91" priority="41"/>
  </conditionalFormatting>
  <conditionalFormatting sqref="O11:O16">
    <cfRule type="duplicateValues" dxfId="90" priority="97"/>
    <cfRule type="duplicateValues" dxfId="89" priority="96" stopIfTrue="1"/>
    <cfRule type="duplicateValues" dxfId="88" priority="95" stopIfTrue="1"/>
  </conditionalFormatting>
  <conditionalFormatting sqref="O17:O19">
    <cfRule type="duplicateValues" dxfId="87" priority="99" stopIfTrue="1"/>
    <cfRule type="duplicateValues" dxfId="86" priority="100"/>
    <cfRule type="duplicateValues" dxfId="85" priority="98" stopIfTrue="1"/>
  </conditionalFormatting>
  <conditionalFormatting sqref="O29">
    <cfRule type="duplicateValues" dxfId="84" priority="90" stopIfTrue="1"/>
    <cfRule type="duplicateValues" dxfId="83" priority="91"/>
    <cfRule type="duplicateValues" dxfId="82" priority="89" stopIfTrue="1"/>
  </conditionalFormatting>
  <conditionalFormatting sqref="O31">
    <cfRule type="duplicateValues" dxfId="81" priority="4" stopIfTrue="1"/>
    <cfRule type="duplicateValues" dxfId="80" priority="5" stopIfTrue="1"/>
    <cfRule type="duplicateValues" dxfId="79" priority="6"/>
  </conditionalFormatting>
  <conditionalFormatting sqref="O32">
    <cfRule type="duplicateValues" dxfId="78" priority="3"/>
    <cfRule type="duplicateValues" dxfId="77" priority="1" stopIfTrue="1"/>
    <cfRule type="duplicateValues" dxfId="76" priority="2" stopIfTrue="1"/>
  </conditionalFormatting>
  <conditionalFormatting sqref="O36:O37">
    <cfRule type="duplicateValues" dxfId="75" priority="47"/>
    <cfRule type="duplicateValues" dxfId="74" priority="45" stopIfTrue="1"/>
    <cfRule type="duplicateValues" dxfId="73" priority="46" stopIfTrue="1"/>
  </conditionalFormatting>
  <conditionalFormatting sqref="O41:O42">
    <cfRule type="duplicateValues" dxfId="72" priority="80" stopIfTrue="1"/>
    <cfRule type="duplicateValues" dxfId="71" priority="81" stopIfTrue="1"/>
    <cfRule type="duplicateValues" dxfId="70" priority="82"/>
  </conditionalFormatting>
  <conditionalFormatting sqref="O46">
    <cfRule type="duplicateValues" dxfId="69" priority="22" stopIfTrue="1"/>
    <cfRule type="duplicateValues" dxfId="68" priority="23"/>
    <cfRule type="duplicateValues" dxfId="67" priority="21" stopIfTrue="1"/>
  </conditionalFormatting>
  <conditionalFormatting sqref="O47">
    <cfRule type="duplicateValues" dxfId="66" priority="19" stopIfTrue="1"/>
    <cfRule type="duplicateValues" dxfId="65" priority="18" stopIfTrue="1"/>
    <cfRule type="duplicateValues" dxfId="64" priority="20"/>
  </conditionalFormatting>
  <conditionalFormatting sqref="O48">
    <cfRule type="duplicateValues" dxfId="63" priority="78" stopIfTrue="1"/>
    <cfRule type="duplicateValues" dxfId="62" priority="79"/>
    <cfRule type="duplicateValues" dxfId="61" priority="77" stopIfTrue="1"/>
  </conditionalFormatting>
  <conditionalFormatting sqref="O49">
    <cfRule type="duplicateValues" dxfId="60" priority="63"/>
    <cfRule type="duplicateValues" dxfId="59" priority="64" stopIfTrue="1"/>
    <cfRule type="duplicateValues" dxfId="58" priority="65" stopIfTrue="1"/>
  </conditionalFormatting>
  <conditionalFormatting sqref="O50">
    <cfRule type="duplicateValues" dxfId="57" priority="58" stopIfTrue="1"/>
    <cfRule type="duplicateValues" dxfId="56" priority="57"/>
    <cfRule type="duplicateValues" dxfId="55" priority="59" stopIfTrue="1"/>
  </conditionalFormatting>
  <conditionalFormatting sqref="O51">
    <cfRule type="duplicateValues" dxfId="54" priority="83" stopIfTrue="1"/>
    <cfRule type="duplicateValues" dxfId="53" priority="84" stopIfTrue="1"/>
    <cfRule type="duplicateValues" dxfId="52" priority="85"/>
  </conditionalFormatting>
  <conditionalFormatting sqref="O57:O58">
    <cfRule type="duplicateValues" dxfId="51" priority="75" stopIfTrue="1"/>
    <cfRule type="duplicateValues" dxfId="50" priority="76"/>
    <cfRule type="duplicateValues" dxfId="49" priority="74" stopIfTrue="1"/>
  </conditionalFormatting>
  <conditionalFormatting sqref="O59:O60">
    <cfRule type="duplicateValues" dxfId="48" priority="70"/>
    <cfRule type="duplicateValues" dxfId="47" priority="71" stopIfTrue="1"/>
    <cfRule type="duplicateValues" dxfId="46" priority="73" stopIfTrue="1"/>
    <cfRule type="duplicateValues" dxfId="45" priority="72" stopIfTrue="1"/>
  </conditionalFormatting>
  <conditionalFormatting sqref="O64">
    <cfRule type="duplicateValues" dxfId="44" priority="60"/>
    <cfRule type="duplicateValues" dxfId="43" priority="61" stopIfTrue="1"/>
    <cfRule type="duplicateValues" dxfId="42" priority="62" stopIfTrue="1"/>
  </conditionalFormatting>
  <conditionalFormatting sqref="O65">
    <cfRule type="duplicateValues" dxfId="41" priority="35" stopIfTrue="1"/>
    <cfRule type="duplicateValues" dxfId="40" priority="34" stopIfTrue="1"/>
    <cfRule type="duplicateValues" dxfId="39" priority="33"/>
  </conditionalFormatting>
  <conditionalFormatting sqref="O66">
    <cfRule type="duplicateValues" dxfId="38" priority="51"/>
    <cfRule type="duplicateValues" dxfId="37" priority="52" stopIfTrue="1"/>
    <cfRule type="duplicateValues" dxfId="36" priority="53" stopIfTrue="1"/>
  </conditionalFormatting>
  <conditionalFormatting sqref="O67">
    <cfRule type="duplicateValues" dxfId="35" priority="38" stopIfTrue="1"/>
    <cfRule type="duplicateValues" dxfId="34" priority="36"/>
    <cfRule type="duplicateValues" dxfId="33" priority="37" stopIfTrue="1"/>
  </conditionalFormatting>
  <conditionalFormatting sqref="O68 O70:O71">
    <cfRule type="duplicateValues" dxfId="32" priority="30"/>
    <cfRule type="duplicateValues" dxfId="31" priority="32" stopIfTrue="1"/>
    <cfRule type="duplicateValues" dxfId="30" priority="31" stopIfTrue="1"/>
  </conditionalFormatting>
  <conditionalFormatting sqref="O69">
    <cfRule type="duplicateValues" dxfId="29" priority="69" stopIfTrue="1"/>
    <cfRule type="duplicateValues" dxfId="28" priority="67" stopIfTrue="1"/>
    <cfRule type="duplicateValues" dxfId="27" priority="66"/>
    <cfRule type="duplicateValues" dxfId="26" priority="68" stopIfTrue="1"/>
  </conditionalFormatting>
  <conditionalFormatting sqref="O72">
    <cfRule type="duplicateValues" dxfId="25" priority="14" stopIfTrue="1"/>
    <cfRule type="duplicateValues" dxfId="24" priority="12" stopIfTrue="1"/>
    <cfRule type="duplicateValues" dxfId="23" priority="11"/>
    <cfRule type="duplicateValues" dxfId="22" priority="13" stopIfTrue="1"/>
  </conditionalFormatting>
  <conditionalFormatting sqref="O73">
    <cfRule type="duplicateValues" dxfId="21" priority="10" stopIfTrue="1"/>
    <cfRule type="duplicateValues" dxfId="20" priority="9" stopIfTrue="1"/>
    <cfRule type="duplicateValues" dxfId="19" priority="8" stopIfTrue="1"/>
    <cfRule type="duplicateValues" dxfId="18" priority="7"/>
  </conditionalFormatting>
  <conditionalFormatting sqref="O74">
    <cfRule type="duplicateValues" dxfId="17" priority="86" stopIfTrue="1"/>
    <cfRule type="duplicateValues" dxfId="16" priority="87" stopIfTrue="1"/>
    <cfRule type="duplicateValues" dxfId="15" priority="88"/>
  </conditionalFormatting>
  <conditionalFormatting sqref="O75:O76">
    <cfRule type="duplicateValues" dxfId="14" priority="16" stopIfTrue="1"/>
    <cfRule type="duplicateValues" dxfId="13" priority="15" stopIfTrue="1"/>
    <cfRule type="duplicateValues" dxfId="12" priority="17"/>
  </conditionalFormatting>
  <conditionalFormatting sqref="O77">
    <cfRule type="duplicateValues" dxfId="11" priority="92"/>
    <cfRule type="duplicateValues" dxfId="10" priority="93" stopIfTrue="1"/>
    <cfRule type="duplicateValues" dxfId="9" priority="94" stopIfTrue="1"/>
  </conditionalFormatting>
  <conditionalFormatting sqref="O78:O79">
    <cfRule type="duplicateValues" dxfId="8" priority="29" stopIfTrue="1"/>
    <cfRule type="duplicateValues" dxfId="7" priority="28" stopIfTrue="1"/>
    <cfRule type="duplicateValues" dxfId="6" priority="27"/>
  </conditionalFormatting>
  <conditionalFormatting sqref="O80:O99">
    <cfRule type="duplicateValues" dxfId="5" priority="106"/>
    <cfRule type="duplicateValues" dxfId="4" priority="108" stopIfTrue="1"/>
    <cfRule type="duplicateValues" dxfId="3" priority="110" stopIfTrue="1"/>
  </conditionalFormatting>
  <conditionalFormatting sqref="O100">
    <cfRule type="duplicateValues" dxfId="2" priority="56" stopIfTrue="1"/>
    <cfRule type="duplicateValues" dxfId="1" priority="55" stopIfTrue="1"/>
    <cfRule type="duplicateValues" dxfId="0" priority="54"/>
  </conditionalFormatting>
  <printOptions horizontalCentered="1" verticalCentered="1"/>
  <pageMargins left="0.70866141732283461" right="0.70866141732283461" top="0.74803149606299213" bottom="0.74803149606299213" header="0.31496062992125984" footer="0.31496062992125984"/>
  <pageSetup paperSize="5" scale="46" fitToHeight="0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Julio-Septiembre 2025</vt:lpstr>
      <vt:lpstr>'Julio-Septiembre 2025'!Print_Area</vt:lpstr>
      <vt:lpstr>'Julio-Septiembre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Oficina Acceso a la Información</cp:lastModifiedBy>
  <cp:revision/>
  <cp:lastPrinted>2025-11-07T18:31:32Z</cp:lastPrinted>
  <dcterms:created xsi:type="dcterms:W3CDTF">2022-07-13T17:05:58Z</dcterms:created>
  <dcterms:modified xsi:type="dcterms:W3CDTF">2025-11-07T18:33:14Z</dcterms:modified>
  <cp:category/>
  <cp:contentStatus/>
</cp:coreProperties>
</file>